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Work\Novelty PCs\2024\Jan-24\"/>
    </mc:Choice>
  </mc:AlternateContent>
  <xr:revisionPtr revIDLastSave="0" documentId="13_ncr:1_{77E07B35-09B1-4C25-9B93-B8FAF5386A16}" xr6:coauthVersionLast="47" xr6:coauthVersionMax="47" xr10:uidLastSave="{00000000-0000-0000-0000-000000000000}"/>
  <bookViews>
    <workbookView xWindow="-30195" yWindow="900" windowWidth="26445" windowHeight="11025" activeTab="9" xr2:uid="{00000000-000D-0000-FFFF-FFFF00000000}"/>
  </bookViews>
  <sheets>
    <sheet name="Cover" sheetId="23" r:id="rId1"/>
    <sheet name="P&amp;L Detl" sheetId="13" r:id="rId2"/>
    <sheet name="BS Detl" sheetId="18" r:id="rId3"/>
    <sheet name="cashflowGross" sheetId="16" state="hidden" r:id="rId4"/>
    <sheet name="Cashflow" sheetId="14" r:id="rId5"/>
    <sheet name="VAT Wkgs" sheetId="15" state="hidden" r:id="rId6"/>
    <sheet name="MthlyCapex" sheetId="21" r:id="rId7"/>
    <sheet name="MthlyHP" sheetId="20" r:id="rId8"/>
    <sheet name="Loans" sheetId="22" r:id="rId9"/>
    <sheet name="Controls" sheetId="17" r:id="rId10"/>
    <sheet name="ExistHP" sheetId="19" state="hidden" r:id="rId11"/>
    <sheet name="PLMar06" sheetId="11" state="hidden" r:id="rId12"/>
    <sheet name="PLMar07" sheetId="12" state="hidden" r:id="rId13"/>
  </sheets>
  <calcPr calcId="181029" fullPrecision="0"/>
</workbook>
</file>

<file path=xl/calcChain.xml><?xml version="1.0" encoding="utf-8"?>
<calcChain xmlns="http://schemas.openxmlformats.org/spreadsheetml/2006/main">
  <c r="N57" i="17" l="1"/>
  <c r="C57" i="17"/>
  <c r="D57" i="17"/>
  <c r="E57" i="17"/>
  <c r="F57" i="17"/>
  <c r="G57" i="17"/>
  <c r="H57" i="17"/>
  <c r="I57" i="17"/>
  <c r="J57" i="17"/>
  <c r="K57" i="17"/>
  <c r="L57" i="17"/>
  <c r="M57" i="17"/>
  <c r="C25" i="14" l="1"/>
  <c r="D25" i="14"/>
  <c r="E25" i="14"/>
  <c r="F25" i="14"/>
  <c r="G25" i="14"/>
  <c r="H25" i="14"/>
  <c r="I25" i="14"/>
  <c r="J25" i="14"/>
  <c r="K25" i="14"/>
  <c r="L25" i="14"/>
  <c r="M25" i="14"/>
  <c r="B25" i="14"/>
  <c r="C24" i="14"/>
  <c r="D24" i="14"/>
  <c r="E24" i="14"/>
  <c r="G24" i="14"/>
  <c r="H24" i="14"/>
  <c r="J24" i="14"/>
  <c r="K24" i="14"/>
  <c r="M24" i="14"/>
  <c r="B24" i="14"/>
  <c r="D48" i="17"/>
  <c r="K59" i="17"/>
  <c r="B16" i="18"/>
  <c r="A1" i="17"/>
  <c r="A1" i="22"/>
  <c r="A1" i="20"/>
  <c r="A1" i="21"/>
  <c r="A1" i="14"/>
  <c r="A1" i="18"/>
  <c r="A1" i="13"/>
  <c r="F3" i="13"/>
  <c r="F57" i="13"/>
  <c r="B12" i="14"/>
  <c r="E13" i="14"/>
  <c r="I13" i="14"/>
  <c r="J13" i="14"/>
  <c r="M13" i="14"/>
  <c r="D56" i="17"/>
  <c r="C12" i="14" s="1"/>
  <c r="E56" i="17"/>
  <c r="D12" i="14" s="1"/>
  <c r="F56" i="17"/>
  <c r="E12" i="14" s="1"/>
  <c r="G56" i="17"/>
  <c r="F12" i="14" s="1"/>
  <c r="H56" i="17"/>
  <c r="G12" i="14" s="1"/>
  <c r="I56" i="17"/>
  <c r="H12" i="14" s="1"/>
  <c r="J56" i="17"/>
  <c r="I12" i="14" s="1"/>
  <c r="K56" i="17"/>
  <c r="J12" i="14" s="1"/>
  <c r="L56" i="17"/>
  <c r="K12" i="14" s="1"/>
  <c r="M56" i="17"/>
  <c r="L12" i="14" s="1"/>
  <c r="N56" i="17"/>
  <c r="M12" i="14" s="1"/>
  <c r="D58" i="17"/>
  <c r="C13" i="14" s="1"/>
  <c r="E58" i="17"/>
  <c r="D13" i="14" s="1"/>
  <c r="F58" i="17"/>
  <c r="G58" i="17"/>
  <c r="F13" i="14" s="1"/>
  <c r="H58" i="17"/>
  <c r="G13" i="14" s="1"/>
  <c r="I58" i="17"/>
  <c r="H13" i="14" s="1"/>
  <c r="J58" i="17"/>
  <c r="K58" i="17"/>
  <c r="L58" i="17"/>
  <c r="K13" i="14" s="1"/>
  <c r="M58" i="17"/>
  <c r="L13" i="14" s="1"/>
  <c r="N58" i="17"/>
  <c r="C58" i="17"/>
  <c r="B13" i="14" s="1"/>
  <c r="C56" i="17"/>
  <c r="C61" i="17" s="1"/>
  <c r="F22" i="14" l="1"/>
  <c r="G22" i="14"/>
  <c r="H22" i="14"/>
  <c r="I22" i="14"/>
  <c r="J22" i="14"/>
  <c r="K22" i="14"/>
  <c r="L22" i="14"/>
  <c r="M22" i="14"/>
  <c r="D28" i="22"/>
  <c r="C34" i="22"/>
  <c r="C36" i="22" s="1"/>
  <c r="D34" i="22"/>
  <c r="E34" i="22"/>
  <c r="F34" i="22"/>
  <c r="G34" i="22"/>
  <c r="H34" i="22"/>
  <c r="I34" i="22"/>
  <c r="J34" i="22"/>
  <c r="K34" i="22"/>
  <c r="L34" i="22"/>
  <c r="M34" i="22"/>
  <c r="N34" i="22"/>
  <c r="O34" i="22"/>
  <c r="C43" i="22"/>
  <c r="D43" i="22"/>
  <c r="E43" i="22"/>
  <c r="F43" i="22"/>
  <c r="G43" i="22"/>
  <c r="H43" i="22"/>
  <c r="I43" i="22"/>
  <c r="J43" i="22"/>
  <c r="K43" i="22"/>
  <c r="L43" i="22"/>
  <c r="M43" i="22"/>
  <c r="N43" i="22"/>
  <c r="O43" i="22"/>
  <c r="C6" i="14"/>
  <c r="D6" i="14"/>
  <c r="E6" i="14"/>
  <c r="F6" i="14"/>
  <c r="G6" i="14"/>
  <c r="H6" i="14"/>
  <c r="I6" i="14"/>
  <c r="J6" i="14"/>
  <c r="K6" i="14"/>
  <c r="L6" i="14"/>
  <c r="M6" i="14"/>
  <c r="B6" i="14"/>
  <c r="C15" i="14"/>
  <c r="D15" i="14"/>
  <c r="E15" i="14"/>
  <c r="F15" i="14"/>
  <c r="G15" i="14"/>
  <c r="H15" i="14"/>
  <c r="I15" i="14"/>
  <c r="J15" i="14"/>
  <c r="K15" i="14"/>
  <c r="L15" i="14"/>
  <c r="M15" i="14"/>
  <c r="B15" i="14"/>
  <c r="B10" i="14"/>
  <c r="C14" i="14"/>
  <c r="D14" i="14"/>
  <c r="E14" i="14"/>
  <c r="F14" i="14"/>
  <c r="G14" i="14"/>
  <c r="H14" i="14"/>
  <c r="I14" i="14"/>
  <c r="J14" i="14"/>
  <c r="K14" i="14"/>
  <c r="L14" i="14"/>
  <c r="M14" i="14"/>
  <c r="B14" i="14"/>
  <c r="D30" i="17"/>
  <c r="E30" i="17"/>
  <c r="F30" i="17"/>
  <c r="G30" i="17"/>
  <c r="H30" i="17"/>
  <c r="I30" i="17"/>
  <c r="J30" i="17"/>
  <c r="K30" i="17"/>
  <c r="L30" i="17"/>
  <c r="M30" i="17"/>
  <c r="N30" i="17"/>
  <c r="C28" i="17"/>
  <c r="C29" i="17"/>
  <c r="C14" i="17"/>
  <c r="C13" i="17"/>
  <c r="D47" i="13"/>
  <c r="E47" i="13"/>
  <c r="G9" i="13"/>
  <c r="G14" i="13" s="1"/>
  <c r="H9" i="13"/>
  <c r="I9" i="13"/>
  <c r="J9" i="13"/>
  <c r="K9" i="13"/>
  <c r="L9" i="13"/>
  <c r="M9" i="13"/>
  <c r="N9" i="13"/>
  <c r="O9" i="13"/>
  <c r="P9" i="13"/>
  <c r="Q9" i="13"/>
  <c r="F9" i="13"/>
  <c r="F14" i="13" s="1"/>
  <c r="R27" i="13"/>
  <c r="R28" i="13"/>
  <c r="R29" i="13"/>
  <c r="R30" i="13"/>
  <c r="R31" i="13"/>
  <c r="R32" i="13"/>
  <c r="R33" i="13"/>
  <c r="R34" i="13"/>
  <c r="R35" i="13"/>
  <c r="R36" i="13"/>
  <c r="R37" i="13"/>
  <c r="R38" i="13"/>
  <c r="R20" i="13"/>
  <c r="B14" i="18"/>
  <c r="E14" i="13"/>
  <c r="D14" i="13"/>
  <c r="C27" i="17" l="1"/>
  <c r="D36" i="22"/>
  <c r="E36" i="22" s="1"/>
  <c r="C15" i="17"/>
  <c r="R40" i="13"/>
  <c r="R41" i="13"/>
  <c r="R42" i="13"/>
  <c r="R43" i="13"/>
  <c r="R44" i="13"/>
  <c r="G25" i="16"/>
  <c r="H26" i="16" s="1"/>
  <c r="C11" i="22"/>
  <c r="C20" i="22"/>
  <c r="C13" i="22"/>
  <c r="D11" i="22"/>
  <c r="B21" i="14" s="1"/>
  <c r="E11" i="22"/>
  <c r="C21" i="14" s="1"/>
  <c r="F11" i="22"/>
  <c r="D21" i="14" s="1"/>
  <c r="G11" i="22"/>
  <c r="E21" i="14" s="1"/>
  <c r="H11" i="22"/>
  <c r="F21" i="14" s="1"/>
  <c r="I11" i="22"/>
  <c r="G21" i="14" s="1"/>
  <c r="J11" i="22"/>
  <c r="H21" i="14" s="1"/>
  <c r="K11" i="22"/>
  <c r="I21" i="14" s="1"/>
  <c r="L11" i="22"/>
  <c r="J21" i="14" s="1"/>
  <c r="M11" i="22"/>
  <c r="K21" i="14" s="1"/>
  <c r="N11" i="22"/>
  <c r="L21" i="14" s="1"/>
  <c r="B22" i="14"/>
  <c r="C22" i="14"/>
  <c r="D22" i="14"/>
  <c r="E22" i="14"/>
  <c r="N22" i="14" s="1"/>
  <c r="C29" i="18"/>
  <c r="L7" i="13"/>
  <c r="M7" i="13"/>
  <c r="N7" i="13"/>
  <c r="N14" i="13"/>
  <c r="K7" i="13"/>
  <c r="J7" i="13"/>
  <c r="G7" i="13"/>
  <c r="H7" i="13"/>
  <c r="D35" i="20"/>
  <c r="B23" i="14" s="1"/>
  <c r="B35" i="16" s="1"/>
  <c r="E35" i="20"/>
  <c r="C23" i="14" s="1"/>
  <c r="F35" i="20"/>
  <c r="D23" i="14" s="1"/>
  <c r="D35" i="16" s="1"/>
  <c r="G35" i="20"/>
  <c r="E23" i="14" s="1"/>
  <c r="H35" i="20"/>
  <c r="F23" i="14" s="1"/>
  <c r="I35" i="20"/>
  <c r="J35" i="20"/>
  <c r="H23" i="14" s="1"/>
  <c r="H35" i="15"/>
  <c r="K35" i="20"/>
  <c r="I23" i="14" s="1"/>
  <c r="I35" i="15"/>
  <c r="L35" i="20"/>
  <c r="J23" i="14" s="1"/>
  <c r="J35" i="16" s="1"/>
  <c r="J35" i="15"/>
  <c r="M35" i="20"/>
  <c r="K23" i="14" s="1"/>
  <c r="N35" i="20"/>
  <c r="L23" i="14" s="1"/>
  <c r="O35" i="20"/>
  <c r="M23" i="14" s="1"/>
  <c r="M35" i="16"/>
  <c r="D20" i="20"/>
  <c r="Q7" i="13"/>
  <c r="I7" i="13"/>
  <c r="A20" i="21"/>
  <c r="A21" i="21"/>
  <c r="A22" i="21"/>
  <c r="A23" i="21"/>
  <c r="A24" i="21"/>
  <c r="A25" i="21"/>
  <c r="B11" i="15"/>
  <c r="B12" i="15"/>
  <c r="B14" i="15"/>
  <c r="B15" i="15"/>
  <c r="B15" i="16" s="1"/>
  <c r="N15" i="16" s="1"/>
  <c r="B16" i="15"/>
  <c r="B18" i="15"/>
  <c r="N18" i="15" s="1"/>
  <c r="B19" i="15"/>
  <c r="N19" i="15" s="1"/>
  <c r="C30" i="17"/>
  <c r="J13" i="21"/>
  <c r="K13" i="21"/>
  <c r="L13" i="21"/>
  <c r="M13" i="21"/>
  <c r="N13" i="21"/>
  <c r="O7" i="13"/>
  <c r="B5" i="14"/>
  <c r="B5" i="15" s="1"/>
  <c r="B7" i="14"/>
  <c r="B6" i="16" s="1"/>
  <c r="B26" i="16"/>
  <c r="D53" i="20"/>
  <c r="F59" i="13" s="1"/>
  <c r="B17" i="14" s="1"/>
  <c r="B31" i="16" s="1"/>
  <c r="B18" i="14"/>
  <c r="C13" i="21"/>
  <c r="B36" i="16"/>
  <c r="C11" i="15"/>
  <c r="C11" i="16" s="1"/>
  <c r="C13" i="15"/>
  <c r="C14" i="15"/>
  <c r="C14" i="16" s="1"/>
  <c r="C15" i="15"/>
  <c r="C15" i="16" s="1"/>
  <c r="C16" i="15"/>
  <c r="C17" i="15"/>
  <c r="C18" i="15"/>
  <c r="C18" i="16" s="1"/>
  <c r="C19" i="15"/>
  <c r="C19" i="16" s="1"/>
  <c r="C20" i="15"/>
  <c r="C21" i="15"/>
  <c r="C22" i="15"/>
  <c r="C22" i="16" s="1"/>
  <c r="E53" i="20"/>
  <c r="G59" i="13" s="1"/>
  <c r="C18" i="14"/>
  <c r="C32" i="16" s="1"/>
  <c r="D13" i="21"/>
  <c r="C7" i="14"/>
  <c r="C5" i="14"/>
  <c r="C5" i="15" s="1"/>
  <c r="C7" i="15" s="1"/>
  <c r="E20" i="20"/>
  <c r="D11" i="15"/>
  <c r="D11" i="16" s="1"/>
  <c r="D13" i="15"/>
  <c r="D15" i="15"/>
  <c r="D16" i="15"/>
  <c r="D16" i="16" s="1"/>
  <c r="D17" i="15"/>
  <c r="D19" i="15"/>
  <c r="D21" i="15"/>
  <c r="D22" i="15"/>
  <c r="D22" i="16" s="1"/>
  <c r="D28" i="16"/>
  <c r="D29" i="16"/>
  <c r="F53" i="20"/>
  <c r="H59" i="13" s="1"/>
  <c r="D18" i="14"/>
  <c r="D32" i="16" s="1"/>
  <c r="E13" i="21"/>
  <c r="D7" i="14"/>
  <c r="D36" i="16"/>
  <c r="E10" i="15"/>
  <c r="E10" i="16" s="1"/>
  <c r="E11" i="15"/>
  <c r="E11" i="16" s="1"/>
  <c r="E13" i="15"/>
  <c r="E14" i="15"/>
  <c r="E14" i="16" s="1"/>
  <c r="E15" i="15"/>
  <c r="E16" i="15"/>
  <c r="E17" i="15"/>
  <c r="E17" i="16" s="1"/>
  <c r="E18" i="15"/>
  <c r="E21" i="15"/>
  <c r="E21" i="16" s="1"/>
  <c r="E22" i="15"/>
  <c r="E22" i="16" s="1"/>
  <c r="E25" i="16"/>
  <c r="F26" i="16" s="1"/>
  <c r="E29" i="16"/>
  <c r="G53" i="20"/>
  <c r="I59" i="13" s="1"/>
  <c r="E17" i="14" s="1"/>
  <c r="E31" i="16" s="1"/>
  <c r="E18" i="14"/>
  <c r="E32" i="16" s="1"/>
  <c r="F13" i="21"/>
  <c r="E7" i="14"/>
  <c r="F10" i="15"/>
  <c r="F10" i="16" s="1"/>
  <c r="F12" i="15"/>
  <c r="F13" i="15"/>
  <c r="F13" i="16" s="1"/>
  <c r="F14" i="15"/>
  <c r="F14" i="16" s="1"/>
  <c r="F16" i="15"/>
  <c r="F16" i="16" s="1"/>
  <c r="F17" i="15"/>
  <c r="F18" i="15"/>
  <c r="F18" i="16" s="1"/>
  <c r="F19" i="15"/>
  <c r="F19" i="16" s="1"/>
  <c r="F20" i="15"/>
  <c r="F20" i="16" s="1"/>
  <c r="F22" i="15"/>
  <c r="F22" i="16" s="1"/>
  <c r="F28" i="16"/>
  <c r="F29" i="16"/>
  <c r="H53" i="20"/>
  <c r="J59" i="13" s="1"/>
  <c r="F17" i="14" s="1"/>
  <c r="F31" i="16" s="1"/>
  <c r="F18" i="14"/>
  <c r="F32" i="16" s="1"/>
  <c r="G13" i="21"/>
  <c r="F7" i="14"/>
  <c r="H13" i="21"/>
  <c r="G7" i="14"/>
  <c r="G19" i="15"/>
  <c r="G19" i="16" s="1"/>
  <c r="G10" i="15"/>
  <c r="G10" i="16" s="1"/>
  <c r="G11" i="15"/>
  <c r="G11" i="16" s="1"/>
  <c r="G12" i="15"/>
  <c r="G12" i="16" s="1"/>
  <c r="G14" i="15"/>
  <c r="G15" i="15"/>
  <c r="G15" i="16" s="1"/>
  <c r="G18" i="15"/>
  <c r="G21" i="15"/>
  <c r="G28" i="16"/>
  <c r="G29" i="16"/>
  <c r="I53" i="20"/>
  <c r="K59" i="13" s="1"/>
  <c r="G17" i="14" s="1"/>
  <c r="G31" i="16" s="1"/>
  <c r="G18" i="14"/>
  <c r="G32" i="16" s="1"/>
  <c r="G36" i="16"/>
  <c r="H10" i="15"/>
  <c r="H10" i="16" s="1"/>
  <c r="H11" i="15"/>
  <c r="H11" i="16" s="1"/>
  <c r="H12" i="15"/>
  <c r="H12" i="16" s="1"/>
  <c r="H15" i="15"/>
  <c r="H15" i="16" s="1"/>
  <c r="H16" i="15"/>
  <c r="H16" i="16" s="1"/>
  <c r="H21" i="15"/>
  <c r="H22" i="15"/>
  <c r="I13" i="21"/>
  <c r="H7" i="14"/>
  <c r="H28" i="16"/>
  <c r="H29" i="16"/>
  <c r="J53" i="20"/>
  <c r="L59" i="13" s="1"/>
  <c r="H17" i="14" s="1"/>
  <c r="H31" i="16" s="1"/>
  <c r="H18" i="14"/>
  <c r="H32" i="16" s="1"/>
  <c r="I10" i="15"/>
  <c r="I10" i="16" s="1"/>
  <c r="I12" i="15"/>
  <c r="I12" i="16" s="1"/>
  <c r="I13" i="15"/>
  <c r="I13" i="16" s="1"/>
  <c r="I14" i="15"/>
  <c r="I15" i="15"/>
  <c r="I15" i="16" s="1"/>
  <c r="I16" i="15"/>
  <c r="I16" i="16" s="1"/>
  <c r="I18" i="15"/>
  <c r="I20" i="15"/>
  <c r="I21" i="15"/>
  <c r="I22" i="15"/>
  <c r="I22" i="16" s="1"/>
  <c r="I7" i="14"/>
  <c r="I28" i="16"/>
  <c r="I29" i="16"/>
  <c r="K53" i="20"/>
  <c r="M59" i="13" s="1"/>
  <c r="I17" i="14" s="1"/>
  <c r="I31" i="16" s="1"/>
  <c r="I18" i="14"/>
  <c r="J19" i="15"/>
  <c r="J19" i="16" s="1"/>
  <c r="J10" i="15"/>
  <c r="J10" i="16" s="1"/>
  <c r="J14" i="15"/>
  <c r="J14" i="16" s="1"/>
  <c r="J15" i="15"/>
  <c r="J15" i="16" s="1"/>
  <c r="J16" i="15"/>
  <c r="J16" i="16" s="1"/>
  <c r="J17" i="15"/>
  <c r="J17" i="16" s="1"/>
  <c r="J18" i="15"/>
  <c r="J20" i="15"/>
  <c r="J20" i="16" s="1"/>
  <c r="J25" i="16"/>
  <c r="K26" i="16" s="1"/>
  <c r="J7" i="14"/>
  <c r="J28" i="16"/>
  <c r="J29" i="16"/>
  <c r="L53" i="20"/>
  <c r="N59" i="13" s="1"/>
  <c r="J17" i="14" s="1"/>
  <c r="J31" i="16" s="1"/>
  <c r="J18" i="14"/>
  <c r="J32" i="16" s="1"/>
  <c r="J36" i="16"/>
  <c r="K19" i="15"/>
  <c r="K10" i="15"/>
  <c r="K10" i="16" s="1"/>
  <c r="K13" i="15"/>
  <c r="K13" i="16" s="1"/>
  <c r="K14" i="15"/>
  <c r="K15" i="15"/>
  <c r="K15" i="16" s="1"/>
  <c r="K16" i="15"/>
  <c r="K16" i="16" s="1"/>
  <c r="K17" i="15"/>
  <c r="K17" i="16" s="1"/>
  <c r="K18" i="15"/>
  <c r="K22" i="15"/>
  <c r="K22" i="16" s="1"/>
  <c r="K7" i="14"/>
  <c r="K28" i="16"/>
  <c r="K29" i="16"/>
  <c r="M53" i="20"/>
  <c r="O59" i="13" s="1"/>
  <c r="K18" i="14"/>
  <c r="P7" i="13"/>
  <c r="L19" i="15"/>
  <c r="L19" i="16" s="1"/>
  <c r="L10" i="15"/>
  <c r="L10" i="16" s="1"/>
  <c r="L11" i="15"/>
  <c r="L12" i="15"/>
  <c r="L12" i="16" s="1"/>
  <c r="L14" i="15"/>
  <c r="L14" i="16" s="1"/>
  <c r="L15" i="15"/>
  <c r="L16" i="15"/>
  <c r="L16" i="16" s="1"/>
  <c r="L17" i="15"/>
  <c r="L17" i="16" s="1"/>
  <c r="L18" i="15"/>
  <c r="L20" i="15"/>
  <c r="L21" i="15"/>
  <c r="L7" i="14"/>
  <c r="L28" i="16"/>
  <c r="L29" i="16"/>
  <c r="N53" i="20"/>
  <c r="P59" i="13" s="1"/>
  <c r="L17" i="14" s="1"/>
  <c r="L31" i="16" s="1"/>
  <c r="L18" i="14"/>
  <c r="L32" i="16" s="1"/>
  <c r="O11" i="22"/>
  <c r="M21" i="14" s="1"/>
  <c r="O8" i="21"/>
  <c r="D22" i="21" s="1"/>
  <c r="C20" i="20"/>
  <c r="O6" i="21"/>
  <c r="F7" i="13"/>
  <c r="O7" i="21"/>
  <c r="G21" i="21" s="1"/>
  <c r="O9" i="21"/>
  <c r="O53" i="20"/>
  <c r="Q59" i="13"/>
  <c r="M17" i="14" s="1"/>
  <c r="M31" i="16" s="1"/>
  <c r="C35" i="20"/>
  <c r="C37" i="20" s="1"/>
  <c r="D37" i="20" s="1"/>
  <c r="C27" i="18" s="1"/>
  <c r="F20" i="20"/>
  <c r="G20" i="20"/>
  <c r="H20" i="20"/>
  <c r="I20" i="20"/>
  <c r="J20" i="20"/>
  <c r="K20" i="20"/>
  <c r="L20" i="20"/>
  <c r="M20" i="20"/>
  <c r="N20" i="20"/>
  <c r="O20" i="20"/>
  <c r="G3" i="13"/>
  <c r="C3" i="18"/>
  <c r="B3" i="16" s="1"/>
  <c r="B3" i="14" s="1"/>
  <c r="B3" i="15" s="1"/>
  <c r="E3" i="13"/>
  <c r="C23" i="18"/>
  <c r="D23" i="18" s="1"/>
  <c r="E23" i="18" s="1"/>
  <c r="F23" i="18" s="1"/>
  <c r="G23" i="18" s="1"/>
  <c r="H23" i="18" s="1"/>
  <c r="I23" i="18" s="1"/>
  <c r="J23" i="18" s="1"/>
  <c r="K23" i="18" s="1"/>
  <c r="L23" i="18" s="1"/>
  <c r="M23" i="18" s="1"/>
  <c r="N23" i="18" s="1"/>
  <c r="B12" i="18"/>
  <c r="B7" i="18"/>
  <c r="B19" i="18"/>
  <c r="B25" i="18"/>
  <c r="B33" i="18" s="1"/>
  <c r="B31" i="18"/>
  <c r="C67" i="17"/>
  <c r="O67" i="17" s="1"/>
  <c r="C68" i="17"/>
  <c r="D68" i="17"/>
  <c r="E68" i="17"/>
  <c r="F68" i="17"/>
  <c r="G68" i="17"/>
  <c r="I68" i="17"/>
  <c r="J68" i="17"/>
  <c r="K68" i="17"/>
  <c r="L68" i="17"/>
  <c r="M68" i="17"/>
  <c r="C63" i="17"/>
  <c r="D63" i="17" s="1"/>
  <c r="C11" i="17"/>
  <c r="O11" i="17" s="1"/>
  <c r="O54" i="17"/>
  <c r="C41" i="17"/>
  <c r="C25" i="17"/>
  <c r="O25" i="17" s="1"/>
  <c r="C5" i="17"/>
  <c r="C7" i="17" s="1"/>
  <c r="O5" i="21"/>
  <c r="F68" i="13"/>
  <c r="M7" i="14"/>
  <c r="M10" i="15"/>
  <c r="M10" i="16" s="1"/>
  <c r="M11" i="15"/>
  <c r="M12" i="15"/>
  <c r="M14" i="15"/>
  <c r="M14" i="16" s="1"/>
  <c r="M15" i="15"/>
  <c r="M17" i="15"/>
  <c r="M17" i="16" s="1"/>
  <c r="M18" i="15"/>
  <c r="M18" i="16" s="1"/>
  <c r="M19" i="15"/>
  <c r="M19" i="16" s="1"/>
  <c r="M20" i="15"/>
  <c r="M21" i="15"/>
  <c r="M21" i="16" s="1"/>
  <c r="M22" i="15"/>
  <c r="M28" i="16"/>
  <c r="M29" i="16"/>
  <c r="M18" i="14"/>
  <c r="M32" i="16" s="1"/>
  <c r="M36" i="16"/>
  <c r="N25" i="14"/>
  <c r="E27" i="16"/>
  <c r="E37" i="16"/>
  <c r="F27" i="16"/>
  <c r="F37" i="16"/>
  <c r="G27" i="16"/>
  <c r="G37" i="16"/>
  <c r="H27" i="16"/>
  <c r="H37" i="16"/>
  <c r="I27" i="16"/>
  <c r="I32" i="16"/>
  <c r="I37" i="16"/>
  <c r="J27" i="16"/>
  <c r="J37" i="16"/>
  <c r="K27" i="16"/>
  <c r="K32" i="16"/>
  <c r="K37" i="16"/>
  <c r="L27" i="16"/>
  <c r="L37" i="16"/>
  <c r="M27" i="16"/>
  <c r="M37" i="16"/>
  <c r="B27" i="16"/>
  <c r="N27" i="16" s="1"/>
  <c r="B28" i="16"/>
  <c r="B29" i="16"/>
  <c r="N29" i="16" s="1"/>
  <c r="B37" i="16"/>
  <c r="B43" i="16"/>
  <c r="C27" i="16"/>
  <c r="C28" i="16"/>
  <c r="C37" i="16"/>
  <c r="D27" i="16"/>
  <c r="D37" i="16"/>
  <c r="N28" i="16"/>
  <c r="E34" i="15"/>
  <c r="F34" i="15"/>
  <c r="J34" i="15"/>
  <c r="K34" i="15"/>
  <c r="L34" i="15"/>
  <c r="M34" i="15"/>
  <c r="E6" i="16"/>
  <c r="F6" i="16"/>
  <c r="G6" i="16"/>
  <c r="H6" i="16"/>
  <c r="I6" i="16"/>
  <c r="J6" i="16"/>
  <c r="K6" i="16"/>
  <c r="L6" i="16"/>
  <c r="M6" i="16"/>
  <c r="D34" i="15"/>
  <c r="D6" i="16"/>
  <c r="B10" i="15"/>
  <c r="D12" i="15"/>
  <c r="D12" i="16" s="1"/>
  <c r="G16" i="15"/>
  <c r="G16" i="16" s="1"/>
  <c r="D20" i="15"/>
  <c r="D20" i="16" s="1"/>
  <c r="H20" i="15"/>
  <c r="H20" i="16" s="1"/>
  <c r="G34" i="15"/>
  <c r="I34" i="15"/>
  <c r="H34" i="15"/>
  <c r="B34" i="15"/>
  <c r="O6" i="17"/>
  <c r="C9" i="17"/>
  <c r="C23" i="17" s="1"/>
  <c r="C3" i="17"/>
  <c r="O57" i="17"/>
  <c r="O59" i="17"/>
  <c r="O45" i="17"/>
  <c r="O69" i="17"/>
  <c r="O16" i="17"/>
  <c r="E20" i="19"/>
  <c r="E19" i="19"/>
  <c r="E18" i="19"/>
  <c r="E7" i="19"/>
  <c r="E8" i="19"/>
  <c r="E9" i="19"/>
  <c r="E10" i="19"/>
  <c r="E11" i="19"/>
  <c r="E12" i="19"/>
  <c r="E13" i="19"/>
  <c r="M13" i="19"/>
  <c r="M16" i="19"/>
  <c r="E14" i="19"/>
  <c r="M14" i="19"/>
  <c r="E15" i="19"/>
  <c r="M15" i="19"/>
  <c r="C16" i="19"/>
  <c r="D16" i="19"/>
  <c r="E16" i="19"/>
  <c r="F16" i="19"/>
  <c r="F23" i="19"/>
  <c r="G16" i="19"/>
  <c r="H16" i="19"/>
  <c r="I16" i="19"/>
  <c r="J16" i="19"/>
  <c r="J23" i="19"/>
  <c r="K16" i="19"/>
  <c r="L16" i="19"/>
  <c r="C21" i="19"/>
  <c r="C25" i="19"/>
  <c r="D25" i="19"/>
  <c r="D21" i="19"/>
  <c r="E21" i="19"/>
  <c r="E23" i="19"/>
  <c r="F21" i="19"/>
  <c r="G21" i="19"/>
  <c r="G23" i="19"/>
  <c r="H21" i="19"/>
  <c r="I21" i="19"/>
  <c r="I23" i="19"/>
  <c r="J21" i="19"/>
  <c r="K21" i="19"/>
  <c r="K23" i="19"/>
  <c r="L21" i="19"/>
  <c r="M21" i="19"/>
  <c r="D23" i="19"/>
  <c r="H23" i="19"/>
  <c r="L23" i="19"/>
  <c r="E25" i="19"/>
  <c r="M31" i="19"/>
  <c r="M34" i="19"/>
  <c r="M35" i="19"/>
  <c r="N35" i="19"/>
  <c r="F35" i="19"/>
  <c r="G35" i="19"/>
  <c r="H35" i="19"/>
  <c r="I35" i="19"/>
  <c r="J35" i="19"/>
  <c r="K35" i="19"/>
  <c r="D20" i="22"/>
  <c r="F58" i="13" s="1"/>
  <c r="E20" i="22"/>
  <c r="G58" i="13" s="1"/>
  <c r="F20" i="22"/>
  <c r="H58" i="13" s="1"/>
  <c r="G20" i="22"/>
  <c r="I58" i="13" s="1"/>
  <c r="H20" i="22"/>
  <c r="J58" i="13" s="1"/>
  <c r="I20" i="22"/>
  <c r="K58" i="13" s="1"/>
  <c r="J20" i="22"/>
  <c r="L58" i="13" s="1"/>
  <c r="K20" i="22"/>
  <c r="M58" i="13" s="1"/>
  <c r="L20" i="22"/>
  <c r="N58" i="13" s="1"/>
  <c r="M20" i="22"/>
  <c r="O58" i="13" s="1"/>
  <c r="N20" i="22"/>
  <c r="P58" i="13" s="1"/>
  <c r="O20" i="22"/>
  <c r="Q58" i="13" s="1"/>
  <c r="D5" i="22"/>
  <c r="B15" i="21"/>
  <c r="C28" i="21" s="1"/>
  <c r="D28" i="21" s="1"/>
  <c r="E28" i="21" s="1"/>
  <c r="F28" i="21" s="1"/>
  <c r="G28" i="21" s="1"/>
  <c r="H28" i="21" s="1"/>
  <c r="B29" i="21"/>
  <c r="O23" i="21"/>
  <c r="C18" i="21"/>
  <c r="C4" i="21"/>
  <c r="C32" i="21"/>
  <c r="O24" i="21"/>
  <c r="O25" i="21"/>
  <c r="O26" i="21"/>
  <c r="O10" i="21"/>
  <c r="O11" i="21"/>
  <c r="O12" i="21"/>
  <c r="C53" i="20"/>
  <c r="D5" i="20"/>
  <c r="E7" i="13"/>
  <c r="D7" i="13"/>
  <c r="D48" i="13" s="1"/>
  <c r="R23" i="13"/>
  <c r="R24" i="13"/>
  <c r="R19" i="13"/>
  <c r="R22" i="13"/>
  <c r="R26" i="13"/>
  <c r="R39" i="13"/>
  <c r="R21" i="13"/>
  <c r="R25" i="13"/>
  <c r="R5" i="13"/>
  <c r="R6" i="13"/>
  <c r="M56" i="11"/>
  <c r="N53" i="11"/>
  <c r="N54" i="11"/>
  <c r="M47" i="11"/>
  <c r="C39" i="11"/>
  <c r="D39" i="11"/>
  <c r="E39" i="11"/>
  <c r="F39" i="11"/>
  <c r="G39" i="11"/>
  <c r="H39" i="11"/>
  <c r="I39" i="11"/>
  <c r="J39" i="11"/>
  <c r="K39" i="11"/>
  <c r="L39" i="11"/>
  <c r="M39" i="11"/>
  <c r="B39" i="11"/>
  <c r="N20" i="11"/>
  <c r="N21" i="11"/>
  <c r="N22" i="11"/>
  <c r="N23" i="11"/>
  <c r="N24" i="11"/>
  <c r="N25" i="11"/>
  <c r="N26" i="11"/>
  <c r="N27" i="11"/>
  <c r="N28" i="11"/>
  <c r="N29" i="11"/>
  <c r="N30" i="11"/>
  <c r="N31" i="11"/>
  <c r="N32" i="11"/>
  <c r="N33" i="11"/>
  <c r="N34" i="11"/>
  <c r="N35" i="11"/>
  <c r="N36" i="11"/>
  <c r="N37" i="11"/>
  <c r="C7" i="11"/>
  <c r="C11" i="11"/>
  <c r="D7" i="11"/>
  <c r="D11" i="11"/>
  <c r="E7" i="11"/>
  <c r="E11" i="11"/>
  <c r="F7" i="11"/>
  <c r="F11" i="11"/>
  <c r="G7" i="11"/>
  <c r="G11" i="11"/>
  <c r="H7" i="11"/>
  <c r="H11" i="11"/>
  <c r="I7" i="11"/>
  <c r="I11" i="11"/>
  <c r="J7" i="11"/>
  <c r="J11" i="11"/>
  <c r="K7" i="11"/>
  <c r="K11" i="11"/>
  <c r="L7" i="11"/>
  <c r="L11" i="11"/>
  <c r="B7" i="11"/>
  <c r="B11" i="11"/>
  <c r="M7" i="11"/>
  <c r="N11" i="11"/>
  <c r="N12" i="11"/>
  <c r="J9" i="11"/>
  <c r="K9" i="11"/>
  <c r="L9" i="11"/>
  <c r="L15" i="11"/>
  <c r="L17" i="11"/>
  <c r="M9" i="11"/>
  <c r="C9" i="11"/>
  <c r="C15" i="11"/>
  <c r="C17" i="11"/>
  <c r="D9" i="11"/>
  <c r="E9" i="11"/>
  <c r="E15" i="11"/>
  <c r="E17" i="11"/>
  <c r="F9" i="11"/>
  <c r="G9" i="11"/>
  <c r="G15" i="11"/>
  <c r="G17" i="11"/>
  <c r="H9" i="11"/>
  <c r="I9" i="11"/>
  <c r="I15" i="11"/>
  <c r="I17" i="11"/>
  <c r="B9" i="11"/>
  <c r="B13" i="11"/>
  <c r="B15" i="11"/>
  <c r="B17" i="11"/>
  <c r="C13" i="11"/>
  <c r="D13" i="11"/>
  <c r="D15" i="11"/>
  <c r="D17" i="11"/>
  <c r="E13" i="11"/>
  <c r="F13" i="11"/>
  <c r="F15" i="11"/>
  <c r="F17" i="11"/>
  <c r="G13" i="11"/>
  <c r="H13" i="11"/>
  <c r="H15" i="11"/>
  <c r="H17" i="11"/>
  <c r="I13" i="11"/>
  <c r="J13" i="11"/>
  <c r="J15" i="11"/>
  <c r="J17" i="11"/>
  <c r="K13" i="11"/>
  <c r="K15" i="11"/>
  <c r="K17" i="11"/>
  <c r="L13" i="11"/>
  <c r="M13" i="11"/>
  <c r="M15" i="11"/>
  <c r="M17" i="11"/>
  <c r="N7" i="11"/>
  <c r="N13" i="11"/>
  <c r="N39" i="11"/>
  <c r="N45" i="11"/>
  <c r="N46" i="11"/>
  <c r="N47" i="11"/>
  <c r="N48" i="11"/>
  <c r="N55" i="11"/>
  <c r="N56" i="11"/>
  <c r="N60" i="11"/>
  <c r="N61" i="11"/>
  <c r="N40" i="11"/>
  <c r="M40" i="11"/>
  <c r="L40" i="11"/>
  <c r="K40" i="11"/>
  <c r="J40" i="11"/>
  <c r="I40" i="11"/>
  <c r="H40" i="11"/>
  <c r="G40" i="11"/>
  <c r="F40" i="11"/>
  <c r="E40" i="11"/>
  <c r="D40" i="11"/>
  <c r="C40" i="11"/>
  <c r="B40" i="11"/>
  <c r="N14" i="11"/>
  <c r="M14" i="11"/>
  <c r="L14" i="11"/>
  <c r="K14" i="11"/>
  <c r="J14" i="11"/>
  <c r="I14" i="11"/>
  <c r="H14" i="11"/>
  <c r="G14" i="11"/>
  <c r="F14" i="11"/>
  <c r="E14" i="11"/>
  <c r="D14" i="11"/>
  <c r="C14" i="11"/>
  <c r="B14" i="11"/>
  <c r="M10" i="11"/>
  <c r="L10" i="11"/>
  <c r="K10" i="11"/>
  <c r="J10" i="11"/>
  <c r="I10" i="11"/>
  <c r="H10" i="11"/>
  <c r="G10" i="11"/>
  <c r="F10" i="11"/>
  <c r="E10" i="11"/>
  <c r="D10" i="11"/>
  <c r="C10" i="11"/>
  <c r="B10" i="11"/>
  <c r="N6" i="11"/>
  <c r="N5" i="11"/>
  <c r="C3" i="11"/>
  <c r="D3" i="11"/>
  <c r="E3" i="11"/>
  <c r="F3" i="11"/>
  <c r="G3" i="11"/>
  <c r="H3" i="11"/>
  <c r="I3" i="11"/>
  <c r="J3" i="11"/>
  <c r="K3" i="11"/>
  <c r="L3" i="11"/>
  <c r="M3" i="11"/>
  <c r="J61" i="12"/>
  <c r="N33" i="12"/>
  <c r="C6" i="12"/>
  <c r="C7" i="12"/>
  <c r="C9" i="12"/>
  <c r="D6" i="12"/>
  <c r="D7" i="12"/>
  <c r="E6" i="12"/>
  <c r="E7" i="12"/>
  <c r="E11" i="12"/>
  <c r="E13" i="12"/>
  <c r="F6" i="12"/>
  <c r="F7" i="12"/>
  <c r="G6" i="12"/>
  <c r="G7" i="12"/>
  <c r="G9" i="12"/>
  <c r="H6" i="12"/>
  <c r="H7" i="12"/>
  <c r="I6" i="12"/>
  <c r="I7" i="12"/>
  <c r="I11" i="12"/>
  <c r="I13" i="12"/>
  <c r="J6" i="12"/>
  <c r="J7" i="12"/>
  <c r="K6" i="12"/>
  <c r="K7" i="12"/>
  <c r="K9" i="12"/>
  <c r="L6" i="12"/>
  <c r="L7" i="12"/>
  <c r="M6" i="12"/>
  <c r="M7" i="12"/>
  <c r="M11" i="12"/>
  <c r="M13" i="12"/>
  <c r="B6" i="12"/>
  <c r="N6" i="12"/>
  <c r="C3" i="12"/>
  <c r="D3" i="12"/>
  <c r="E3" i="12"/>
  <c r="F3" i="12"/>
  <c r="G3" i="12"/>
  <c r="H3" i="12"/>
  <c r="I3" i="12"/>
  <c r="J3" i="12"/>
  <c r="K3" i="12"/>
  <c r="L3" i="12"/>
  <c r="M3" i="12"/>
  <c r="N5" i="12"/>
  <c r="N12" i="12"/>
  <c r="N20" i="12"/>
  <c r="N21" i="12"/>
  <c r="N22" i="12"/>
  <c r="N23" i="12"/>
  <c r="N24" i="12"/>
  <c r="N25" i="12"/>
  <c r="N26" i="12"/>
  <c r="N27" i="12"/>
  <c r="N28" i="12"/>
  <c r="N29" i="12"/>
  <c r="N30" i="12"/>
  <c r="N31" i="12"/>
  <c r="N32" i="12"/>
  <c r="N34" i="12"/>
  <c r="N35" i="12"/>
  <c r="N36" i="12"/>
  <c r="N37" i="12"/>
  <c r="B39" i="12"/>
  <c r="C39" i="12"/>
  <c r="N39" i="12"/>
  <c r="D39" i="12"/>
  <c r="E39" i="12"/>
  <c r="E40" i="12"/>
  <c r="F39" i="12"/>
  <c r="G39" i="12"/>
  <c r="G40" i="12"/>
  <c r="H39" i="12"/>
  <c r="I39" i="12"/>
  <c r="I40" i="12"/>
  <c r="J39" i="12"/>
  <c r="K39" i="12"/>
  <c r="K40" i="12"/>
  <c r="L39" i="12"/>
  <c r="M39" i="12"/>
  <c r="M40" i="12"/>
  <c r="N45" i="12"/>
  <c r="N46" i="12"/>
  <c r="N47" i="12"/>
  <c r="N48" i="12"/>
  <c r="N53" i="12"/>
  <c r="N54" i="12"/>
  <c r="N55" i="12"/>
  <c r="N56" i="12"/>
  <c r="N60" i="12"/>
  <c r="N61" i="12"/>
  <c r="E36" i="15"/>
  <c r="N37" i="15"/>
  <c r="B36" i="15"/>
  <c r="D36" i="15"/>
  <c r="G36" i="15"/>
  <c r="J36" i="15"/>
  <c r="M36" i="15"/>
  <c r="B35" i="15"/>
  <c r="D35" i="15"/>
  <c r="M35" i="15"/>
  <c r="B27" i="15"/>
  <c r="N27" i="15" s="1"/>
  <c r="C27" i="15"/>
  <c r="D27" i="15"/>
  <c r="E27" i="15"/>
  <c r="F27" i="15"/>
  <c r="G27" i="15"/>
  <c r="H27" i="15"/>
  <c r="I27" i="15"/>
  <c r="J27" i="15"/>
  <c r="K27" i="15"/>
  <c r="L27" i="15"/>
  <c r="M27" i="15"/>
  <c r="N25" i="15"/>
  <c r="N29" i="15"/>
  <c r="N30" i="15"/>
  <c r="N31" i="15"/>
  <c r="N32" i="15"/>
  <c r="N6" i="15"/>
  <c r="H41" i="11"/>
  <c r="H18" i="11"/>
  <c r="I18" i="11"/>
  <c r="I41" i="11"/>
  <c r="L41" i="11"/>
  <c r="L18" i="11"/>
  <c r="J11" i="12"/>
  <c r="J13" i="12"/>
  <c r="J9" i="12"/>
  <c r="J40" i="12"/>
  <c r="G10" i="12"/>
  <c r="K41" i="11"/>
  <c r="K18" i="11"/>
  <c r="L40" i="12"/>
  <c r="L11" i="12"/>
  <c r="L13" i="12"/>
  <c r="L9" i="12"/>
  <c r="L14" i="12"/>
  <c r="D40" i="12"/>
  <c r="D11" i="12"/>
  <c r="D13" i="12"/>
  <c r="D9" i="12"/>
  <c r="J41" i="11"/>
  <c r="J18" i="11"/>
  <c r="F41" i="11"/>
  <c r="F18" i="11"/>
  <c r="B41" i="11"/>
  <c r="B18" i="11"/>
  <c r="G41" i="11"/>
  <c r="G18" i="11"/>
  <c r="C41" i="11"/>
  <c r="C18" i="11"/>
  <c r="H40" i="12"/>
  <c r="H11" i="12"/>
  <c r="H13" i="12"/>
  <c r="H9" i="12"/>
  <c r="D41" i="11"/>
  <c r="D18" i="11"/>
  <c r="K10" i="12"/>
  <c r="F11" i="12"/>
  <c r="F13" i="12"/>
  <c r="F9" i="12"/>
  <c r="F40" i="12"/>
  <c r="C10" i="12"/>
  <c r="M18" i="11"/>
  <c r="M41" i="11"/>
  <c r="E18" i="11"/>
  <c r="E41" i="11"/>
  <c r="C40" i="12"/>
  <c r="M14" i="12"/>
  <c r="I14" i="12"/>
  <c r="E14" i="12"/>
  <c r="M9" i="12"/>
  <c r="I9" i="12"/>
  <c r="E9" i="12"/>
  <c r="B7" i="12"/>
  <c r="K11" i="12"/>
  <c r="K13" i="12"/>
  <c r="K15" i="12"/>
  <c r="K17" i="12"/>
  <c r="G11" i="12"/>
  <c r="G13" i="12"/>
  <c r="G15" i="12"/>
  <c r="G17" i="12"/>
  <c r="C11" i="12"/>
  <c r="N9" i="11"/>
  <c r="F25" i="19"/>
  <c r="G25" i="19"/>
  <c r="H25" i="19"/>
  <c r="I25" i="19"/>
  <c r="J25" i="19"/>
  <c r="K25" i="19"/>
  <c r="L25" i="19"/>
  <c r="M25" i="19"/>
  <c r="M23" i="19"/>
  <c r="K14" i="12"/>
  <c r="G14" i="12"/>
  <c r="C23" i="19"/>
  <c r="F27" i="19"/>
  <c r="M26" i="19"/>
  <c r="E22" i="21"/>
  <c r="I22" i="21"/>
  <c r="F21" i="21"/>
  <c r="J21" i="21"/>
  <c r="K18" i="12"/>
  <c r="K41" i="12"/>
  <c r="G18" i="12"/>
  <c r="G41" i="12"/>
  <c r="N15" i="11"/>
  <c r="N17" i="11"/>
  <c r="N10" i="11"/>
  <c r="C13" i="12"/>
  <c r="C15" i="12"/>
  <c r="C17" i="12"/>
  <c r="C14" i="12"/>
  <c r="E15" i="12"/>
  <c r="E17" i="12"/>
  <c r="E10" i="12"/>
  <c r="D50" i="11"/>
  <c r="D42" i="11"/>
  <c r="C42" i="11"/>
  <c r="C50" i="11"/>
  <c r="B42" i="11"/>
  <c r="B50" i="11"/>
  <c r="J42" i="11"/>
  <c r="J50" i="11"/>
  <c r="K42" i="11"/>
  <c r="K50" i="11"/>
  <c r="I50" i="11"/>
  <c r="I42" i="11"/>
  <c r="I15" i="12"/>
  <c r="I17" i="12"/>
  <c r="I10" i="12"/>
  <c r="F14" i="12"/>
  <c r="H14" i="12"/>
  <c r="D14" i="12"/>
  <c r="J14" i="12"/>
  <c r="M15" i="12"/>
  <c r="M17" i="12"/>
  <c r="M10" i="12"/>
  <c r="F10" i="12"/>
  <c r="F15" i="12"/>
  <c r="F17" i="12"/>
  <c r="H10" i="12"/>
  <c r="H15" i="12"/>
  <c r="H17" i="12"/>
  <c r="G42" i="11"/>
  <c r="G50" i="11"/>
  <c r="F42" i="11"/>
  <c r="F50" i="11"/>
  <c r="D10" i="12"/>
  <c r="D15" i="12"/>
  <c r="D17" i="12"/>
  <c r="J10" i="12"/>
  <c r="J15" i="12"/>
  <c r="J17" i="12"/>
  <c r="B11" i="12"/>
  <c r="B9" i="12"/>
  <c r="N7" i="12"/>
  <c r="B40" i="12"/>
  <c r="E50" i="11"/>
  <c r="E42" i="11"/>
  <c r="M50" i="11"/>
  <c r="M42" i="11"/>
  <c r="L10" i="12"/>
  <c r="L15" i="12"/>
  <c r="L17" i="12"/>
  <c r="L50" i="11"/>
  <c r="L42" i="11"/>
  <c r="H50" i="11"/>
  <c r="H42" i="11"/>
  <c r="M51" i="11"/>
  <c r="M58" i="11"/>
  <c r="M63" i="11"/>
  <c r="L18" i="12"/>
  <c r="L41" i="12"/>
  <c r="N40" i="12"/>
  <c r="J18" i="12"/>
  <c r="J41" i="12"/>
  <c r="F51" i="11"/>
  <c r="F58" i="11"/>
  <c r="F63" i="11"/>
  <c r="H18" i="12"/>
  <c r="H41" i="12"/>
  <c r="K58" i="11"/>
  <c r="K63" i="11"/>
  <c r="K51" i="11"/>
  <c r="B51" i="11"/>
  <c r="B58" i="11"/>
  <c r="B63" i="11"/>
  <c r="B64" i="11"/>
  <c r="N11" i="12"/>
  <c r="N14" i="12"/>
  <c r="B13" i="12"/>
  <c r="N13" i="12"/>
  <c r="E51" i="11"/>
  <c r="E58" i="11"/>
  <c r="E63" i="11"/>
  <c r="B14" i="12"/>
  <c r="I18" i="12"/>
  <c r="I41" i="12"/>
  <c r="I51" i="11"/>
  <c r="I58" i="11"/>
  <c r="I63" i="11"/>
  <c r="D51" i="11"/>
  <c r="D58" i="11"/>
  <c r="D63" i="11"/>
  <c r="C18" i="12"/>
  <c r="C41" i="12"/>
  <c r="N41" i="11"/>
  <c r="N18" i="11"/>
  <c r="G42" i="12"/>
  <c r="G50" i="12"/>
  <c r="M18" i="12"/>
  <c r="M41" i="12"/>
  <c r="H51" i="11"/>
  <c r="H58" i="11"/>
  <c r="H63" i="11"/>
  <c r="B10" i="12"/>
  <c r="B15" i="12"/>
  <c r="B17" i="12"/>
  <c r="N9" i="12"/>
  <c r="D18" i="12"/>
  <c r="D41" i="12"/>
  <c r="G58" i="11"/>
  <c r="G63" i="11"/>
  <c r="G51" i="11"/>
  <c r="F18" i="12"/>
  <c r="F41" i="12"/>
  <c r="J51" i="11"/>
  <c r="J58" i="11"/>
  <c r="J63" i="11"/>
  <c r="C58" i="11"/>
  <c r="C63" i="11"/>
  <c r="C51" i="11"/>
  <c r="L51" i="11"/>
  <c r="L58" i="11"/>
  <c r="L63" i="11"/>
  <c r="E18" i="12"/>
  <c r="E41" i="12"/>
  <c r="K42" i="12"/>
  <c r="K50" i="12"/>
  <c r="D42" i="12"/>
  <c r="D50" i="12"/>
  <c r="B18" i="12"/>
  <c r="B41" i="12"/>
  <c r="M50" i="12"/>
  <c r="M42" i="12"/>
  <c r="N50" i="11"/>
  <c r="N42" i="11"/>
  <c r="C42" i="12"/>
  <c r="C50" i="12"/>
  <c r="I50" i="12"/>
  <c r="I42" i="12"/>
  <c r="L42" i="12"/>
  <c r="L50" i="12"/>
  <c r="G58" i="12"/>
  <c r="G63" i="12"/>
  <c r="G51" i="12"/>
  <c r="C64" i="11"/>
  <c r="D64" i="11"/>
  <c r="E64" i="11"/>
  <c r="F64" i="11"/>
  <c r="G64" i="11"/>
  <c r="H64" i="11"/>
  <c r="I64" i="11"/>
  <c r="J64" i="11"/>
  <c r="K64" i="11"/>
  <c r="L64" i="11"/>
  <c r="M64" i="11"/>
  <c r="K58" i="12"/>
  <c r="K63" i="12"/>
  <c r="K51" i="12"/>
  <c r="E50" i="12"/>
  <c r="E42" i="12"/>
  <c r="F42" i="12"/>
  <c r="F50" i="12"/>
  <c r="N10" i="12"/>
  <c r="N15" i="12"/>
  <c r="N17" i="12"/>
  <c r="H42" i="12"/>
  <c r="H50" i="12"/>
  <c r="J42" i="12"/>
  <c r="J50" i="12"/>
  <c r="H51" i="12"/>
  <c r="H58" i="12"/>
  <c r="H63" i="12"/>
  <c r="N18" i="12"/>
  <c r="N41" i="12"/>
  <c r="E51" i="12"/>
  <c r="E58" i="12"/>
  <c r="E63" i="12"/>
  <c r="L51" i="12"/>
  <c r="L58" i="12"/>
  <c r="L63" i="12"/>
  <c r="I51" i="12"/>
  <c r="I58" i="12"/>
  <c r="I63" i="12"/>
  <c r="N58" i="11"/>
  <c r="N63" i="11"/>
  <c r="N51" i="11"/>
  <c r="J51" i="12"/>
  <c r="J58" i="12"/>
  <c r="J63" i="12"/>
  <c r="F51" i="12"/>
  <c r="F58" i="12"/>
  <c r="F63" i="12"/>
  <c r="C58" i="12"/>
  <c r="C63" i="12"/>
  <c r="C51" i="12"/>
  <c r="M51" i="12"/>
  <c r="M58" i="12"/>
  <c r="M63" i="12"/>
  <c r="D51" i="12"/>
  <c r="D58" i="12"/>
  <c r="D63" i="12"/>
  <c r="B42" i="12"/>
  <c r="B50" i="12"/>
  <c r="N42" i="12"/>
  <c r="N50" i="12"/>
  <c r="B51" i="12"/>
  <c r="B58" i="12"/>
  <c r="B63" i="12"/>
  <c r="B64" i="12"/>
  <c r="C64" i="12"/>
  <c r="D64" i="12"/>
  <c r="E64" i="12"/>
  <c r="F64" i="12"/>
  <c r="G64" i="12"/>
  <c r="H64" i="12"/>
  <c r="I64" i="12"/>
  <c r="J64" i="12"/>
  <c r="K64" i="12"/>
  <c r="L64" i="12"/>
  <c r="M64" i="12"/>
  <c r="N51" i="12"/>
  <c r="N58" i="12"/>
  <c r="N63" i="12"/>
  <c r="E19" i="15"/>
  <c r="E19" i="16" s="1"/>
  <c r="C25" i="16"/>
  <c r="D25" i="16"/>
  <c r="E26" i="16" s="1"/>
  <c r="B16" i="14"/>
  <c r="B30" i="16" s="1"/>
  <c r="B17" i="15"/>
  <c r="N17" i="15" s="1"/>
  <c r="L22" i="15"/>
  <c r="L22" i="16" s="1"/>
  <c r="L13" i="15"/>
  <c r="L13" i="16" s="1"/>
  <c r="K21" i="15"/>
  <c r="K21" i="16" s="1"/>
  <c r="J21" i="15"/>
  <c r="J21" i="16" s="1"/>
  <c r="J12" i="15"/>
  <c r="J12" i="16" s="1"/>
  <c r="D18" i="15"/>
  <c r="D18" i="16" s="1"/>
  <c r="B21" i="15"/>
  <c r="N21" i="15" s="1"/>
  <c r="M13" i="15"/>
  <c r="M13" i="16" s="1"/>
  <c r="H25" i="16"/>
  <c r="I26" i="16" s="1"/>
  <c r="I19" i="15"/>
  <c r="I19" i="16" s="1"/>
  <c r="K25" i="16"/>
  <c r="L26" i="16" s="1"/>
  <c r="M25" i="16"/>
  <c r="D26" i="16"/>
  <c r="D3" i="13"/>
  <c r="B3" i="18"/>
  <c r="F25" i="16"/>
  <c r="G26" i="16" s="1"/>
  <c r="R13" i="13"/>
  <c r="I25" i="16"/>
  <c r="J26" i="16" s="1"/>
  <c r="L25" i="16"/>
  <c r="M26" i="16" s="1"/>
  <c r="B21" i="16"/>
  <c r="N21" i="16" s="1"/>
  <c r="R11" i="13"/>
  <c r="O41" i="17" l="1"/>
  <c r="F36" i="22"/>
  <c r="D29" i="18"/>
  <c r="J20" i="14"/>
  <c r="J34" i="16" s="1"/>
  <c r="K46" i="17"/>
  <c r="D21" i="21"/>
  <c r="C31" i="17"/>
  <c r="C44" i="17" s="1"/>
  <c r="I20" i="14"/>
  <c r="J46" i="17"/>
  <c r="G22" i="21"/>
  <c r="N21" i="21"/>
  <c r="L22" i="21"/>
  <c r="H20" i="14"/>
  <c r="I46" i="17"/>
  <c r="F20" i="14"/>
  <c r="G46" i="17"/>
  <c r="E20" i="14"/>
  <c r="F46" i="17"/>
  <c r="G20" i="14"/>
  <c r="G34" i="16" s="1"/>
  <c r="H46" i="17"/>
  <c r="M21" i="21"/>
  <c r="J22" i="21"/>
  <c r="K22" i="21"/>
  <c r="D20" i="14"/>
  <c r="E46" i="17"/>
  <c r="L21" i="21"/>
  <c r="F22" i="21"/>
  <c r="O22" i="21" s="1"/>
  <c r="H22" i="21"/>
  <c r="B20" i="14"/>
  <c r="C46" i="17"/>
  <c r="M20" i="14"/>
  <c r="N46" i="17"/>
  <c r="E21" i="21"/>
  <c r="N22" i="21"/>
  <c r="K21" i="21"/>
  <c r="M22" i="21"/>
  <c r="C21" i="21"/>
  <c r="L20" i="14"/>
  <c r="M46" i="17"/>
  <c r="K20" i="14"/>
  <c r="K34" i="16" s="1"/>
  <c r="L46" i="17"/>
  <c r="C5" i="22"/>
  <c r="C28" i="22"/>
  <c r="D4" i="21"/>
  <c r="E28" i="22"/>
  <c r="C20" i="14"/>
  <c r="D46" i="17"/>
  <c r="N37" i="16"/>
  <c r="N16" i="13"/>
  <c r="N7" i="14"/>
  <c r="G23" i="14"/>
  <c r="G35" i="16" s="1"/>
  <c r="D13" i="22"/>
  <c r="E13" i="22" s="1"/>
  <c r="F13" i="22"/>
  <c r="D28" i="18"/>
  <c r="C28" i="18"/>
  <c r="R68" i="13"/>
  <c r="B34" i="21"/>
  <c r="C10" i="15"/>
  <c r="C10" i="16" s="1"/>
  <c r="B34" i="16"/>
  <c r="M34" i="16"/>
  <c r="D34" i="16"/>
  <c r="N21" i="14"/>
  <c r="B8" i="14"/>
  <c r="O5" i="17"/>
  <c r="O7" i="17" s="1"/>
  <c r="L34" i="16"/>
  <c r="C70" i="17"/>
  <c r="D67" i="17" s="1"/>
  <c r="D70" i="17" s="1"/>
  <c r="H34" i="16"/>
  <c r="I28" i="21"/>
  <c r="J28" i="21" s="1"/>
  <c r="K28" i="21" s="1"/>
  <c r="L28" i="21" s="1"/>
  <c r="M28" i="21" s="1"/>
  <c r="N28" i="21" s="1"/>
  <c r="C15" i="21"/>
  <c r="F34" i="16"/>
  <c r="I21" i="21"/>
  <c r="H21" i="21"/>
  <c r="I20" i="21"/>
  <c r="D20" i="21"/>
  <c r="D27" i="21" s="1"/>
  <c r="L20" i="21"/>
  <c r="F20" i="21"/>
  <c r="N20" i="21"/>
  <c r="N27" i="21" s="1"/>
  <c r="G20" i="21"/>
  <c r="G27" i="21" s="1"/>
  <c r="H20" i="21"/>
  <c r="J20" i="21"/>
  <c r="J27" i="21" s="1"/>
  <c r="K20" i="21"/>
  <c r="E20" i="21"/>
  <c r="M20" i="21"/>
  <c r="M27" i="21" s="1"/>
  <c r="I34" i="16"/>
  <c r="E34" i="16"/>
  <c r="N18" i="14"/>
  <c r="O30" i="17"/>
  <c r="D30" i="18"/>
  <c r="E63" i="17"/>
  <c r="D10" i="15"/>
  <c r="D10" i="16" s="1"/>
  <c r="C30" i="18"/>
  <c r="B32" i="16"/>
  <c r="N32" i="16" s="1"/>
  <c r="C5" i="16"/>
  <c r="L12" i="13"/>
  <c r="K12" i="13"/>
  <c r="O12" i="13"/>
  <c r="H12" i="13"/>
  <c r="P12" i="13"/>
  <c r="G12" i="13"/>
  <c r="N12" i="13"/>
  <c r="I12" i="13"/>
  <c r="E16" i="13"/>
  <c r="E17" i="13" s="1"/>
  <c r="E48" i="13"/>
  <c r="J12" i="13"/>
  <c r="C39" i="17"/>
  <c r="G22" i="15"/>
  <c r="G22" i="16" s="1"/>
  <c r="L21" i="16"/>
  <c r="B5" i="16"/>
  <c r="B7" i="16" s="1"/>
  <c r="B7" i="15"/>
  <c r="G35" i="15"/>
  <c r="E35" i="16"/>
  <c r="E35" i="15"/>
  <c r="F35" i="16"/>
  <c r="F35" i="15"/>
  <c r="L35" i="16"/>
  <c r="L35" i="15"/>
  <c r="K35" i="16"/>
  <c r="K35" i="15"/>
  <c r="I35" i="16"/>
  <c r="E37" i="20"/>
  <c r="D27" i="18" s="1"/>
  <c r="H35" i="16"/>
  <c r="C35" i="15"/>
  <c r="C6" i="16"/>
  <c r="Q12" i="13"/>
  <c r="N10" i="13"/>
  <c r="M14" i="13"/>
  <c r="M16" i="13" s="1"/>
  <c r="M12" i="13"/>
  <c r="L14" i="13"/>
  <c r="L16" i="13" s="1"/>
  <c r="C34" i="15"/>
  <c r="N34" i="15" s="1"/>
  <c r="O13" i="21"/>
  <c r="H14" i="13"/>
  <c r="H16" i="13" s="1"/>
  <c r="G16" i="13"/>
  <c r="G17" i="13" s="1"/>
  <c r="G10" i="13"/>
  <c r="F12" i="13"/>
  <c r="B21" i="18"/>
  <c r="B34" i="18" s="1"/>
  <c r="D5" i="17"/>
  <c r="D7" i="17" s="1"/>
  <c r="C9" i="18"/>
  <c r="H18" i="15"/>
  <c r="H18" i="16" s="1"/>
  <c r="C13" i="16"/>
  <c r="M12" i="16"/>
  <c r="K17" i="14"/>
  <c r="K31" i="16" s="1"/>
  <c r="F10" i="13"/>
  <c r="B12" i="16"/>
  <c r="N12" i="16" s="1"/>
  <c r="N12" i="15"/>
  <c r="K12" i="15"/>
  <c r="K12" i="16" s="1"/>
  <c r="J11" i="15"/>
  <c r="J11" i="16" s="1"/>
  <c r="G20" i="15"/>
  <c r="G20" i="16" s="1"/>
  <c r="F16" i="13"/>
  <c r="K19" i="16"/>
  <c r="O58" i="17"/>
  <c r="C52" i="17"/>
  <c r="C65" i="17" s="1"/>
  <c r="I21" i="16"/>
  <c r="C5" i="20"/>
  <c r="L18" i="16"/>
  <c r="N15" i="14"/>
  <c r="B20" i="15"/>
  <c r="N20" i="15" s="1"/>
  <c r="B11" i="16"/>
  <c r="N11" i="16" s="1"/>
  <c r="N11" i="15"/>
  <c r="N15" i="15"/>
  <c r="C29" i="16"/>
  <c r="H14" i="15"/>
  <c r="H14" i="16" s="1"/>
  <c r="D14" i="15"/>
  <c r="D14" i="16" s="1"/>
  <c r="F12" i="16"/>
  <c r="M11" i="16"/>
  <c r="D13" i="16"/>
  <c r="C17" i="16"/>
  <c r="Q10" i="13"/>
  <c r="E18" i="16"/>
  <c r="D9" i="17"/>
  <c r="R58" i="13"/>
  <c r="E5" i="22"/>
  <c r="I20" i="16"/>
  <c r="D10" i="13"/>
  <c r="D12" i="13"/>
  <c r="K20" i="15"/>
  <c r="K20" i="16" s="1"/>
  <c r="H3" i="13"/>
  <c r="F28" i="22" s="1"/>
  <c r="D18" i="21"/>
  <c r="M15" i="16"/>
  <c r="D15" i="16"/>
  <c r="C20" i="16"/>
  <c r="C16" i="16"/>
  <c r="B16" i="16"/>
  <c r="D3" i="18"/>
  <c r="C3" i="16" s="1"/>
  <c r="C3" i="14" s="1"/>
  <c r="C3" i="15" s="1"/>
  <c r="D32" i="21"/>
  <c r="E5" i="20"/>
  <c r="E10" i="13"/>
  <c r="E12" i="13"/>
  <c r="L15" i="16"/>
  <c r="F17" i="16"/>
  <c r="E13" i="16"/>
  <c r="D19" i="16"/>
  <c r="D3" i="17"/>
  <c r="H21" i="16"/>
  <c r="E49" i="13"/>
  <c r="E54" i="13" s="1"/>
  <c r="E55" i="13" s="1"/>
  <c r="D16" i="13"/>
  <c r="D49" i="13" s="1"/>
  <c r="D50" i="13" s="1"/>
  <c r="G21" i="16"/>
  <c r="F15" i="15"/>
  <c r="F15" i="16" s="1"/>
  <c r="D17" i="16"/>
  <c r="C43" i="17"/>
  <c r="C19" i="17"/>
  <c r="C21" i="17" s="1"/>
  <c r="C10" i="18" s="1"/>
  <c r="B14" i="16"/>
  <c r="L11" i="16"/>
  <c r="J13" i="15"/>
  <c r="J13" i="16" s="1"/>
  <c r="I11" i="15"/>
  <c r="I11" i="16" s="1"/>
  <c r="H17" i="15"/>
  <c r="H17" i="16" s="1"/>
  <c r="E15" i="16"/>
  <c r="D21" i="16"/>
  <c r="C21" i="16"/>
  <c r="B10" i="16"/>
  <c r="K11" i="15"/>
  <c r="K11" i="16" s="1"/>
  <c r="D17" i="14"/>
  <c r="D31" i="16" s="1"/>
  <c r="B18" i="16"/>
  <c r="N18" i="16" s="1"/>
  <c r="B13" i="15"/>
  <c r="B13" i="16" s="1"/>
  <c r="I17" i="15"/>
  <c r="I17" i="16" s="1"/>
  <c r="C26" i="16"/>
  <c r="N26" i="16" s="1"/>
  <c r="N13" i="14"/>
  <c r="M22" i="16"/>
  <c r="H19" i="15"/>
  <c r="H19" i="16" s="1"/>
  <c r="G13" i="15"/>
  <c r="G13" i="16" s="1"/>
  <c r="E20" i="15"/>
  <c r="E20" i="16" s="1"/>
  <c r="C17" i="14"/>
  <c r="R59" i="13"/>
  <c r="I14" i="16"/>
  <c r="N14" i="14"/>
  <c r="E28" i="16"/>
  <c r="C12" i="15"/>
  <c r="C12" i="16"/>
  <c r="B22" i="15"/>
  <c r="N22" i="15" s="1"/>
  <c r="E16" i="16"/>
  <c r="O56" i="17"/>
  <c r="C16" i="18"/>
  <c r="M16" i="15"/>
  <c r="M16" i="16" s="1"/>
  <c r="K14" i="16"/>
  <c r="G17" i="15"/>
  <c r="G17" i="16" s="1"/>
  <c r="F21" i="15"/>
  <c r="F21" i="16" s="1"/>
  <c r="J14" i="13"/>
  <c r="N12" i="14"/>
  <c r="B25" i="16"/>
  <c r="N25" i="16" s="1"/>
  <c r="B17" i="16"/>
  <c r="N17" i="16" s="1"/>
  <c r="K18" i="16"/>
  <c r="J22" i="15"/>
  <c r="J22" i="16" s="1"/>
  <c r="H13" i="15"/>
  <c r="H13" i="16" s="1"/>
  <c r="F11" i="15"/>
  <c r="F11" i="16" s="1"/>
  <c r="E12" i="15"/>
  <c r="E12" i="16" s="1"/>
  <c r="M20" i="16"/>
  <c r="L20" i="16"/>
  <c r="J18" i="16"/>
  <c r="I18" i="16"/>
  <c r="H22" i="16"/>
  <c r="G18" i="16"/>
  <c r="G14" i="16"/>
  <c r="B19" i="16"/>
  <c r="N19" i="16" s="1"/>
  <c r="L10" i="13"/>
  <c r="K14" i="13"/>
  <c r="R7" i="13"/>
  <c r="I14" i="13"/>
  <c r="P14" i="13"/>
  <c r="N17" i="13"/>
  <c r="H10" i="13"/>
  <c r="M10" i="13"/>
  <c r="O46" i="17" l="1"/>
  <c r="C36" i="16"/>
  <c r="C36" i="15"/>
  <c r="C31" i="18"/>
  <c r="C32" i="17"/>
  <c r="G36" i="22"/>
  <c r="E29" i="18"/>
  <c r="F27" i="21"/>
  <c r="L27" i="21"/>
  <c r="E27" i="21"/>
  <c r="K27" i="21"/>
  <c r="H27" i="21"/>
  <c r="K45" i="13" s="1"/>
  <c r="K47" i="13" s="1"/>
  <c r="K48" i="13" s="1"/>
  <c r="I27" i="21"/>
  <c r="L45" i="13" s="1"/>
  <c r="L47" i="13" s="1"/>
  <c r="O45" i="13"/>
  <c r="O47" i="13" s="1"/>
  <c r="O48" i="13" s="1"/>
  <c r="P45" i="13"/>
  <c r="P47" i="13" s="1"/>
  <c r="P48" i="13" s="1"/>
  <c r="G45" i="13"/>
  <c r="G47" i="13" s="1"/>
  <c r="J45" i="13"/>
  <c r="J47" i="13" s="1"/>
  <c r="J48" i="13" s="1"/>
  <c r="Q45" i="13"/>
  <c r="Q47" i="13" s="1"/>
  <c r="Q48" i="13" s="1"/>
  <c r="I45" i="13"/>
  <c r="I47" i="13" s="1"/>
  <c r="I48" i="13" s="1"/>
  <c r="H45" i="13"/>
  <c r="H47" i="13" s="1"/>
  <c r="M45" i="13"/>
  <c r="M47" i="13" s="1"/>
  <c r="M48" i="13" s="1"/>
  <c r="N45" i="13"/>
  <c r="N47" i="13" s="1"/>
  <c r="O21" i="21"/>
  <c r="O28" i="21"/>
  <c r="G13" i="22"/>
  <c r="E28" i="18"/>
  <c r="F37" i="20"/>
  <c r="E27" i="18" s="1"/>
  <c r="D15" i="21"/>
  <c r="C5" i="18"/>
  <c r="C35" i="17"/>
  <c r="C37" i="17" s="1"/>
  <c r="C14" i="18" s="1"/>
  <c r="D25" i="17" s="1"/>
  <c r="N10" i="15"/>
  <c r="N10" i="16"/>
  <c r="C18" i="18"/>
  <c r="D31" i="18"/>
  <c r="E30" i="18"/>
  <c r="F63" i="17"/>
  <c r="N35" i="15"/>
  <c r="N23" i="14"/>
  <c r="C35" i="16"/>
  <c r="N35" i="16" s="1"/>
  <c r="C7" i="16"/>
  <c r="N6" i="16"/>
  <c r="N6" i="14"/>
  <c r="C8" i="14"/>
  <c r="Q14" i="13"/>
  <c r="Q16" i="13" s="1"/>
  <c r="O14" i="13"/>
  <c r="O16" i="13" s="1"/>
  <c r="C34" i="16"/>
  <c r="N34" i="16" s="1"/>
  <c r="N20" i="14"/>
  <c r="O20" i="21"/>
  <c r="C27" i="21"/>
  <c r="R12" i="13"/>
  <c r="D9" i="18"/>
  <c r="E5" i="17"/>
  <c r="E7" i="17" s="1"/>
  <c r="C47" i="17"/>
  <c r="O10" i="13"/>
  <c r="B20" i="16"/>
  <c r="N20" i="16" s="1"/>
  <c r="D17" i="13"/>
  <c r="D54" i="13"/>
  <c r="N14" i="15"/>
  <c r="F17" i="13"/>
  <c r="D52" i="17"/>
  <c r="D65" i="17" s="1"/>
  <c r="D39" i="17"/>
  <c r="D23" i="17"/>
  <c r="E4" i="21"/>
  <c r="I3" i="13"/>
  <c r="G28" i="22" s="1"/>
  <c r="F5" i="20"/>
  <c r="E18" i="21"/>
  <c r="E3" i="18"/>
  <c r="D3" i="16" s="1"/>
  <c r="D3" i="14" s="1"/>
  <c r="D3" i="15" s="1"/>
  <c r="E32" i="21"/>
  <c r="E3" i="17"/>
  <c r="F5" i="22"/>
  <c r="E9" i="17"/>
  <c r="R9" i="13"/>
  <c r="R14" i="13" s="1"/>
  <c r="N16" i="16"/>
  <c r="E50" i="13"/>
  <c r="D11" i="17"/>
  <c r="E61" i="13"/>
  <c r="E65" i="13" s="1"/>
  <c r="E67" i="17"/>
  <c r="E70" i="17" s="1"/>
  <c r="D18" i="18"/>
  <c r="D54" i="17"/>
  <c r="N13" i="16"/>
  <c r="N16" i="15"/>
  <c r="N13" i="15"/>
  <c r="N14" i="16"/>
  <c r="O61" i="17"/>
  <c r="O63" i="17" s="1"/>
  <c r="C31" i="16"/>
  <c r="N17" i="14"/>
  <c r="J16" i="13"/>
  <c r="J10" i="13"/>
  <c r="B22" i="16"/>
  <c r="N22" i="16" s="1"/>
  <c r="M17" i="13"/>
  <c r="L17" i="13"/>
  <c r="P16" i="13"/>
  <c r="P10" i="13"/>
  <c r="H17" i="13"/>
  <c r="K16" i="13"/>
  <c r="K10" i="13"/>
  <c r="I10" i="13"/>
  <c r="I16" i="13"/>
  <c r="D61" i="17" l="1"/>
  <c r="D16" i="18" s="1"/>
  <c r="F29" i="18"/>
  <c r="H36" i="22"/>
  <c r="L48" i="13"/>
  <c r="L49" i="13"/>
  <c r="N49" i="13"/>
  <c r="N48" i="13"/>
  <c r="G48" i="13"/>
  <c r="G49" i="13"/>
  <c r="G54" i="13" s="1"/>
  <c r="G55" i="13" s="1"/>
  <c r="H48" i="13"/>
  <c r="H49" i="13"/>
  <c r="H50" i="13" s="1"/>
  <c r="M49" i="13"/>
  <c r="C29" i="21"/>
  <c r="C6" i="18" s="1"/>
  <c r="F45" i="13"/>
  <c r="D61" i="13"/>
  <c r="D65" i="13" s="1"/>
  <c r="E13" i="17"/>
  <c r="M13" i="17"/>
  <c r="E27" i="17"/>
  <c r="E29" i="17"/>
  <c r="M27" i="17"/>
  <c r="D13" i="17"/>
  <c r="N27" i="17"/>
  <c r="N29" i="17"/>
  <c r="E14" i="17"/>
  <c r="E43" i="17" s="1"/>
  <c r="D28" i="17"/>
  <c r="N14" i="17"/>
  <c r="N43" i="17" s="1"/>
  <c r="M28" i="17"/>
  <c r="H13" i="22"/>
  <c r="F28" i="18"/>
  <c r="E31" i="18"/>
  <c r="G37" i="20"/>
  <c r="F27" i="18" s="1"/>
  <c r="C34" i="21"/>
  <c r="B9" i="15"/>
  <c r="B9" i="16" s="1"/>
  <c r="B39" i="16" s="1"/>
  <c r="B41" i="16" s="1"/>
  <c r="B46" i="16" s="1"/>
  <c r="B27" i="14"/>
  <c r="B29" i="14" s="1"/>
  <c r="C11" i="18" s="1"/>
  <c r="G57" i="13" s="1"/>
  <c r="E15" i="21"/>
  <c r="D5" i="18"/>
  <c r="O27" i="21"/>
  <c r="G63" i="17"/>
  <c r="F30" i="18"/>
  <c r="C50" i="17"/>
  <c r="C17" i="18" s="1"/>
  <c r="C19" i="18" s="1"/>
  <c r="Q17" i="13"/>
  <c r="Q49" i="13"/>
  <c r="O49" i="13"/>
  <c r="O54" i="13" s="1"/>
  <c r="O17" i="13"/>
  <c r="D29" i="21"/>
  <c r="D6" i="18" s="1"/>
  <c r="R10" i="13"/>
  <c r="E9" i="18"/>
  <c r="F5" i="17"/>
  <c r="F7" i="17" s="1"/>
  <c r="C7" i="18"/>
  <c r="R16" i="13"/>
  <c r="R17" i="13" s="1"/>
  <c r="D55" i="13"/>
  <c r="M29" i="17" s="1"/>
  <c r="E23" i="17"/>
  <c r="E39" i="17"/>
  <c r="E52" i="17"/>
  <c r="E65" i="17" s="1"/>
  <c r="J3" i="13"/>
  <c r="H28" i="22" s="1"/>
  <c r="F4" i="21"/>
  <c r="G5" i="20"/>
  <c r="F9" i="17"/>
  <c r="F3" i="18"/>
  <c r="E3" i="16" s="1"/>
  <c r="E3" i="14" s="1"/>
  <c r="E3" i="15" s="1"/>
  <c r="F32" i="21"/>
  <c r="F3" i="17"/>
  <c r="F18" i="21"/>
  <c r="G5" i="22"/>
  <c r="E54" i="17"/>
  <c r="J17" i="13"/>
  <c r="J49" i="13"/>
  <c r="N31" i="16"/>
  <c r="F67" i="17"/>
  <c r="F70" i="17" s="1"/>
  <c r="E18" i="18"/>
  <c r="L54" i="13"/>
  <c r="L50" i="13"/>
  <c r="O50" i="13"/>
  <c r="P49" i="13"/>
  <c r="P17" i="13"/>
  <c r="F36" i="15"/>
  <c r="I17" i="13"/>
  <c r="I49" i="13"/>
  <c r="K17" i="13"/>
  <c r="K49" i="13"/>
  <c r="K36" i="16"/>
  <c r="K36" i="15"/>
  <c r="M54" i="13"/>
  <c r="M50" i="13"/>
  <c r="G50" i="13" l="1"/>
  <c r="E61" i="17"/>
  <c r="E16" i="18" s="1"/>
  <c r="I36" i="22"/>
  <c r="G29" i="18"/>
  <c r="C12" i="18"/>
  <c r="H54" i="13"/>
  <c r="D34" i="21"/>
  <c r="N50" i="13"/>
  <c r="N54" i="13"/>
  <c r="E15" i="17"/>
  <c r="E28" i="17"/>
  <c r="E31" i="17" s="1"/>
  <c r="E44" i="17" s="1"/>
  <c r="E47" i="17" s="1"/>
  <c r="N13" i="17"/>
  <c r="N15" i="17" s="1"/>
  <c r="D29" i="17"/>
  <c r="M31" i="17"/>
  <c r="M44" i="17" s="1"/>
  <c r="N28" i="17"/>
  <c r="N31" i="17" s="1"/>
  <c r="N44" i="17" s="1"/>
  <c r="N47" i="17" s="1"/>
  <c r="D14" i="17"/>
  <c r="D43" i="17" s="1"/>
  <c r="D27" i="17"/>
  <c r="M14" i="17"/>
  <c r="M43" i="17" s="1"/>
  <c r="G28" i="18"/>
  <c r="I13" i="22"/>
  <c r="F31" i="18"/>
  <c r="H37" i="20"/>
  <c r="G27" i="18" s="1"/>
  <c r="B45" i="16"/>
  <c r="C43" i="16" s="1"/>
  <c r="B31" i="14"/>
  <c r="B34" i="14" s="1"/>
  <c r="F15" i="21"/>
  <c r="E5" i="18"/>
  <c r="B42" i="15"/>
  <c r="B44" i="15" s="1"/>
  <c r="B48" i="15" s="1"/>
  <c r="B50" i="15" s="1"/>
  <c r="C47" i="15" s="1"/>
  <c r="B33" i="14"/>
  <c r="D41" i="17"/>
  <c r="F47" i="13"/>
  <c r="R45" i="13"/>
  <c r="H63" i="17"/>
  <c r="G30" i="18"/>
  <c r="D7" i="18"/>
  <c r="Q50" i="13"/>
  <c r="Q54" i="13"/>
  <c r="E29" i="21"/>
  <c r="E6" i="18" s="1"/>
  <c r="C21" i="18"/>
  <c r="F9" i="18"/>
  <c r="G5" i="17"/>
  <c r="G7" i="17" s="1"/>
  <c r="F23" i="17"/>
  <c r="F52" i="17"/>
  <c r="F65" i="17" s="1"/>
  <c r="F39" i="17"/>
  <c r="G3" i="17"/>
  <c r="G4" i="21"/>
  <c r="K3" i="13"/>
  <c r="I28" i="22" s="1"/>
  <c r="G32" i="21"/>
  <c r="G18" i="21"/>
  <c r="H5" i="20"/>
  <c r="G3" i="18"/>
  <c r="F3" i="16" s="1"/>
  <c r="F3" i="14" s="1"/>
  <c r="F3" i="15" s="1"/>
  <c r="H5" i="22"/>
  <c r="G9" i="17"/>
  <c r="F18" i="18"/>
  <c r="G67" i="17"/>
  <c r="G70" i="17" s="1"/>
  <c r="J50" i="13"/>
  <c r="J54" i="13"/>
  <c r="F54" i="17"/>
  <c r="L55" i="13"/>
  <c r="H36" i="16"/>
  <c r="H36" i="15"/>
  <c r="M55" i="13"/>
  <c r="P54" i="13"/>
  <c r="P50" i="13"/>
  <c r="K54" i="13"/>
  <c r="K50" i="13"/>
  <c r="I54" i="13"/>
  <c r="I50" i="13"/>
  <c r="O55" i="13"/>
  <c r="H55" i="13"/>
  <c r="E36" i="16"/>
  <c r="F61" i="17" l="1"/>
  <c r="F16" i="18" s="1"/>
  <c r="H29" i="18"/>
  <c r="J36" i="22"/>
  <c r="C16" i="14"/>
  <c r="C30" i="16" s="1"/>
  <c r="G61" i="13"/>
  <c r="G65" i="13" s="1"/>
  <c r="N55" i="13"/>
  <c r="M32" i="17"/>
  <c r="N32" i="17"/>
  <c r="M15" i="17"/>
  <c r="D31" i="17"/>
  <c r="D44" i="17" s="1"/>
  <c r="D47" i="17" s="1"/>
  <c r="D50" i="17" s="1"/>
  <c r="E32" i="17"/>
  <c r="M47" i="17"/>
  <c r="D15" i="17"/>
  <c r="D19" i="17" s="1"/>
  <c r="D21" i="17" s="1"/>
  <c r="D10" i="18" s="1"/>
  <c r="E11" i="17" s="1"/>
  <c r="J13" i="22"/>
  <c r="H28" i="18"/>
  <c r="G31" i="18"/>
  <c r="I37" i="20"/>
  <c r="H27" i="18" s="1"/>
  <c r="E34" i="21"/>
  <c r="G15" i="21"/>
  <c r="F5" i="18"/>
  <c r="R47" i="13"/>
  <c r="F48" i="13"/>
  <c r="F49" i="13"/>
  <c r="I63" i="17"/>
  <c r="H30" i="18"/>
  <c r="Q55" i="13"/>
  <c r="F29" i="21"/>
  <c r="F6" i="18" s="1"/>
  <c r="G9" i="18"/>
  <c r="H5" i="17"/>
  <c r="H7" i="17" s="1"/>
  <c r="E7" i="18"/>
  <c r="G52" i="17"/>
  <c r="G65" i="17" s="1"/>
  <c r="G39" i="17"/>
  <c r="G23" i="17"/>
  <c r="H4" i="21"/>
  <c r="I5" i="22"/>
  <c r="H3" i="17"/>
  <c r="H32" i="21"/>
  <c r="I5" i="20"/>
  <c r="H18" i="21"/>
  <c r="H3" i="18"/>
  <c r="G3" i="16" s="1"/>
  <c r="G3" i="14" s="1"/>
  <c r="G3" i="15" s="1"/>
  <c r="H9" i="17"/>
  <c r="L3" i="13"/>
  <c r="J28" i="22" s="1"/>
  <c r="J55" i="13"/>
  <c r="H67" i="17"/>
  <c r="H70" i="17" s="1"/>
  <c r="G18" i="18"/>
  <c r="G54" i="17"/>
  <c r="K55" i="13"/>
  <c r="P55" i="13"/>
  <c r="I55" i="13"/>
  <c r="G61" i="17" l="1"/>
  <c r="G16" i="18" s="1"/>
  <c r="K36" i="22"/>
  <c r="I29" i="18"/>
  <c r="F34" i="21"/>
  <c r="D32" i="17"/>
  <c r="C10" i="14" s="1"/>
  <c r="E41" i="17"/>
  <c r="E50" i="17" s="1"/>
  <c r="D17" i="18"/>
  <c r="E17" i="17"/>
  <c r="D5" i="14" s="1"/>
  <c r="K13" i="22"/>
  <c r="I28" i="18"/>
  <c r="H31" i="18"/>
  <c r="J37" i="20"/>
  <c r="I27" i="18" s="1"/>
  <c r="H15" i="21"/>
  <c r="G5" i="18"/>
  <c r="G34" i="21"/>
  <c r="F50" i="13"/>
  <c r="F54" i="13"/>
  <c r="R48" i="13"/>
  <c r="R49" i="13"/>
  <c r="I30" i="18"/>
  <c r="J63" i="17"/>
  <c r="G29" i="21"/>
  <c r="G6" i="18" s="1"/>
  <c r="H9" i="18"/>
  <c r="I5" i="17"/>
  <c r="I7" i="17" s="1"/>
  <c r="I4" i="21"/>
  <c r="J5" i="20"/>
  <c r="I32" i="21"/>
  <c r="I3" i="18"/>
  <c r="H3" i="16" s="1"/>
  <c r="H3" i="14" s="1"/>
  <c r="H3" i="15" s="1"/>
  <c r="I18" i="21"/>
  <c r="I9" i="17"/>
  <c r="I3" i="17"/>
  <c r="M3" i="13"/>
  <c r="K28" i="22" s="1"/>
  <c r="J5" i="22"/>
  <c r="H52" i="17"/>
  <c r="H65" i="17" s="1"/>
  <c r="H39" i="17"/>
  <c r="H23" i="17"/>
  <c r="H54" i="17"/>
  <c r="I67" i="17"/>
  <c r="I70" i="17" s="1"/>
  <c r="H18" i="18"/>
  <c r="H61" i="17" l="1"/>
  <c r="H16" i="18" s="1"/>
  <c r="E33" i="17"/>
  <c r="D10" i="14" s="1"/>
  <c r="D9" i="15" s="1"/>
  <c r="D42" i="15" s="1"/>
  <c r="D35" i="17"/>
  <c r="D37" i="17" s="1"/>
  <c r="D14" i="18" s="1"/>
  <c r="E25" i="17" s="1"/>
  <c r="J29" i="18"/>
  <c r="L36" i="22"/>
  <c r="C9" i="15"/>
  <c r="C27" i="14"/>
  <c r="C29" i="14" s="1"/>
  <c r="D8" i="14"/>
  <c r="D5" i="15"/>
  <c r="E17" i="18"/>
  <c r="F41" i="17"/>
  <c r="E19" i="17"/>
  <c r="E21" i="17" s="1"/>
  <c r="E10" i="18" s="1"/>
  <c r="F11" i="17" s="1"/>
  <c r="E35" i="17"/>
  <c r="E37" i="17" s="1"/>
  <c r="E14" i="18" s="1"/>
  <c r="D19" i="18"/>
  <c r="L13" i="22"/>
  <c r="J28" i="18"/>
  <c r="K37" i="20"/>
  <c r="J27" i="18" s="1"/>
  <c r="I31" i="18"/>
  <c r="I15" i="21"/>
  <c r="H5" i="18"/>
  <c r="R50" i="13"/>
  <c r="R54" i="13"/>
  <c r="F55" i="13"/>
  <c r="F61" i="13"/>
  <c r="F65" i="13" s="1"/>
  <c r="F69" i="13" s="1"/>
  <c r="K63" i="17"/>
  <c r="J30" i="18"/>
  <c r="H29" i="21"/>
  <c r="H6" i="18" s="1"/>
  <c r="I9" i="18"/>
  <c r="J5" i="17"/>
  <c r="J7" i="17" s="1"/>
  <c r="F7" i="18"/>
  <c r="I52" i="17"/>
  <c r="I65" i="17" s="1"/>
  <c r="I39" i="17"/>
  <c r="I23" i="17"/>
  <c r="J4" i="21"/>
  <c r="K5" i="20"/>
  <c r="J18" i="21"/>
  <c r="J3" i="18"/>
  <c r="I3" i="16" s="1"/>
  <c r="I3" i="14" s="1"/>
  <c r="I3" i="15" s="1"/>
  <c r="N3" i="13"/>
  <c r="L28" i="22" s="1"/>
  <c r="J9" i="17"/>
  <c r="J3" i="17"/>
  <c r="J32" i="21"/>
  <c r="K5" i="22"/>
  <c r="I18" i="18"/>
  <c r="J67" i="17"/>
  <c r="J70" i="17" s="1"/>
  <c r="I54" i="17"/>
  <c r="N7" i="16"/>
  <c r="G48" i="17" l="1"/>
  <c r="I61" i="17"/>
  <c r="I16" i="18" s="1"/>
  <c r="M36" i="22"/>
  <c r="K29" i="18"/>
  <c r="H34" i="21"/>
  <c r="D11" i="18"/>
  <c r="H57" i="13" s="1"/>
  <c r="C31" i="14"/>
  <c r="C34" i="14" s="1"/>
  <c r="C33" i="14"/>
  <c r="C9" i="16"/>
  <c r="C39" i="16" s="1"/>
  <c r="C41" i="16" s="1"/>
  <c r="C42" i="15"/>
  <c r="C44" i="15" s="1"/>
  <c r="C48" i="15" s="1"/>
  <c r="C50" i="15" s="1"/>
  <c r="D47" i="15" s="1"/>
  <c r="F25" i="17"/>
  <c r="E19" i="18"/>
  <c r="D5" i="16"/>
  <c r="D7" i="16" s="1"/>
  <c r="D7" i="15"/>
  <c r="D44" i="15" s="1"/>
  <c r="D48" i="15" s="1"/>
  <c r="D9" i="16"/>
  <c r="D39" i="16" s="1"/>
  <c r="M13" i="22"/>
  <c r="K28" i="18"/>
  <c r="J31" i="18"/>
  <c r="L37" i="20"/>
  <c r="K27" i="18" s="1"/>
  <c r="J15" i="21"/>
  <c r="I5" i="18"/>
  <c r="L13" i="17"/>
  <c r="F29" i="17"/>
  <c r="L28" i="17"/>
  <c r="F13" i="17"/>
  <c r="F14" i="17"/>
  <c r="F27" i="17"/>
  <c r="L14" i="17"/>
  <c r="L43" i="17" s="1"/>
  <c r="L29" i="17"/>
  <c r="F28" i="17"/>
  <c r="L27" i="17"/>
  <c r="R55" i="13"/>
  <c r="G68" i="13"/>
  <c r="C24" i="18"/>
  <c r="C25" i="18" s="1"/>
  <c r="C33" i="18" s="1"/>
  <c r="C34" i="18" s="1"/>
  <c r="L63" i="17"/>
  <c r="K30" i="18"/>
  <c r="I29" i="21"/>
  <c r="I6" i="18" s="1"/>
  <c r="J9" i="18"/>
  <c r="K5" i="17"/>
  <c r="K7" i="17" s="1"/>
  <c r="J39" i="17"/>
  <c r="J23" i="17"/>
  <c r="J52" i="17"/>
  <c r="J65" i="17" s="1"/>
  <c r="O3" i="13"/>
  <c r="M28" i="22" s="1"/>
  <c r="K9" i="17"/>
  <c r="K32" i="21"/>
  <c r="K18" i="21"/>
  <c r="K4" i="21"/>
  <c r="K3" i="18"/>
  <c r="J3" i="16" s="1"/>
  <c r="J3" i="14" s="1"/>
  <c r="J3" i="15" s="1"/>
  <c r="K3" i="17"/>
  <c r="L5" i="22"/>
  <c r="L5" i="20"/>
  <c r="J54" i="17"/>
  <c r="J18" i="18"/>
  <c r="K67" i="17"/>
  <c r="K70" i="17" s="1"/>
  <c r="F24" i="14" l="1"/>
  <c r="F36" i="16" s="1"/>
  <c r="J61" i="17"/>
  <c r="J16" i="18" s="1"/>
  <c r="L29" i="18"/>
  <c r="N36" i="22"/>
  <c r="D12" i="18"/>
  <c r="D21" i="18" s="1"/>
  <c r="D50" i="15"/>
  <c r="E47" i="15" s="1"/>
  <c r="C46" i="16"/>
  <c r="C45" i="16"/>
  <c r="D43" i="16" s="1"/>
  <c r="D41" i="16"/>
  <c r="L28" i="18"/>
  <c r="N13" i="22"/>
  <c r="K31" i="18"/>
  <c r="M37" i="20"/>
  <c r="L27" i="18" s="1"/>
  <c r="L15" i="17"/>
  <c r="N17" i="17" s="1"/>
  <c r="M5" i="14" s="1"/>
  <c r="L31" i="17"/>
  <c r="I34" i="21"/>
  <c r="F31" i="17"/>
  <c r="F43" i="17"/>
  <c r="K15" i="21"/>
  <c r="J5" i="18"/>
  <c r="G69" i="13"/>
  <c r="K28" i="17" s="1"/>
  <c r="G29" i="17"/>
  <c r="G28" i="17"/>
  <c r="F15" i="17"/>
  <c r="L30" i="18"/>
  <c r="M63" i="17"/>
  <c r="J29" i="21"/>
  <c r="J6" i="18" s="1"/>
  <c r="K9" i="18"/>
  <c r="L5" i="17"/>
  <c r="L7" i="17" s="1"/>
  <c r="G7" i="18"/>
  <c r="L9" i="17"/>
  <c r="M5" i="22"/>
  <c r="L18" i="21"/>
  <c r="L32" i="21"/>
  <c r="P3" i="13"/>
  <c r="N28" i="22" s="1"/>
  <c r="L4" i="21"/>
  <c r="M5" i="20"/>
  <c r="L3" i="18"/>
  <c r="K3" i="16" s="1"/>
  <c r="K3" i="14" s="1"/>
  <c r="K3" i="15" s="1"/>
  <c r="L3" i="17"/>
  <c r="K23" i="17"/>
  <c r="K52" i="17"/>
  <c r="K65" i="17" s="1"/>
  <c r="K39" i="17"/>
  <c r="L67" i="17"/>
  <c r="L70" i="17" s="1"/>
  <c r="K18" i="18"/>
  <c r="K54" i="17"/>
  <c r="K61" i="17" l="1"/>
  <c r="K16" i="18" s="1"/>
  <c r="M29" i="18"/>
  <c r="O36" i="22"/>
  <c r="N29" i="18" s="1"/>
  <c r="D46" i="16"/>
  <c r="D45" i="16"/>
  <c r="E43" i="16" s="1"/>
  <c r="D16" i="14"/>
  <c r="H61" i="13"/>
  <c r="H65" i="13" s="1"/>
  <c r="G13" i="17"/>
  <c r="G27" i="17"/>
  <c r="G31" i="17" s="1"/>
  <c r="D24" i="18"/>
  <c r="D25" i="18" s="1"/>
  <c r="D33" i="18" s="1"/>
  <c r="D34" i="18" s="1"/>
  <c r="M28" i="18"/>
  <c r="O13" i="22"/>
  <c r="N28" i="18" s="1"/>
  <c r="L31" i="18"/>
  <c r="N37" i="20"/>
  <c r="M27" i="18" s="1"/>
  <c r="F32" i="17"/>
  <c r="F44" i="17"/>
  <c r="L32" i="17"/>
  <c r="L44" i="17"/>
  <c r="L47" i="17" s="1"/>
  <c r="J34" i="21"/>
  <c r="K27" i="17"/>
  <c r="K29" i="17"/>
  <c r="G14" i="17"/>
  <c r="L15" i="21"/>
  <c r="K5" i="18"/>
  <c r="K13" i="17"/>
  <c r="K14" i="17"/>
  <c r="K43" i="17" s="1"/>
  <c r="M5" i="15"/>
  <c r="M7" i="15" s="1"/>
  <c r="M8" i="14"/>
  <c r="F17" i="17"/>
  <c r="F19" i="17" s="1"/>
  <c r="F21" i="17" s="1"/>
  <c r="F10" i="18" s="1"/>
  <c r="H68" i="13"/>
  <c r="M30" i="18"/>
  <c r="N63" i="17"/>
  <c r="N30" i="18" s="1"/>
  <c r="K29" i="21"/>
  <c r="K6" i="18" s="1"/>
  <c r="L9" i="18"/>
  <c r="M5" i="17"/>
  <c r="M7" i="17" s="1"/>
  <c r="L52" i="17"/>
  <c r="L65" i="17" s="1"/>
  <c r="L23" i="17"/>
  <c r="L39" i="17"/>
  <c r="N5" i="20"/>
  <c r="M4" i="21"/>
  <c r="M18" i="21"/>
  <c r="M3" i="17"/>
  <c r="M32" i="21"/>
  <c r="M3" i="18"/>
  <c r="L3" i="16" s="1"/>
  <c r="L3" i="14" s="1"/>
  <c r="L3" i="15" s="1"/>
  <c r="Q3" i="13"/>
  <c r="O28" i="22" s="1"/>
  <c r="M9" i="17"/>
  <c r="N5" i="22"/>
  <c r="L54" i="17"/>
  <c r="L18" i="18"/>
  <c r="M67" i="17"/>
  <c r="M70" i="17" s="1"/>
  <c r="L61" i="17" l="1"/>
  <c r="L16" i="18" s="1"/>
  <c r="D30" i="16"/>
  <c r="D27" i="14"/>
  <c r="D29" i="14" s="1"/>
  <c r="M31" i="18"/>
  <c r="O37" i="20"/>
  <c r="G32" i="17"/>
  <c r="G44" i="17"/>
  <c r="M5" i="16"/>
  <c r="M7" i="16" s="1"/>
  <c r="K31" i="17"/>
  <c r="K15" i="17"/>
  <c r="M17" i="17" s="1"/>
  <c r="L5" i="14" s="1"/>
  <c r="G43" i="17"/>
  <c r="F47" i="17"/>
  <c r="F50" i="17" s="1"/>
  <c r="N33" i="17"/>
  <c r="M10" i="14" s="1"/>
  <c r="F33" i="17"/>
  <c r="E10" i="14" s="1"/>
  <c r="G15" i="17"/>
  <c r="G17" i="17" s="1"/>
  <c r="F5" i="14" s="1"/>
  <c r="H69" i="13"/>
  <c r="H27" i="17" s="1"/>
  <c r="K34" i="21"/>
  <c r="G11" i="17"/>
  <c r="E5" i="14"/>
  <c r="M15" i="21"/>
  <c r="L5" i="18"/>
  <c r="L29" i="21"/>
  <c r="L6" i="18" s="1"/>
  <c r="N5" i="17"/>
  <c r="N7" i="17" s="1"/>
  <c r="N9" i="18" s="1"/>
  <c r="M9" i="18"/>
  <c r="H7" i="18"/>
  <c r="M23" i="17"/>
  <c r="M39" i="17"/>
  <c r="M52" i="17"/>
  <c r="M65" i="17" s="1"/>
  <c r="N4" i="21"/>
  <c r="O5" i="20"/>
  <c r="N3" i="17"/>
  <c r="N18" i="21"/>
  <c r="N3" i="18"/>
  <c r="M3" i="16" s="1"/>
  <c r="M3" i="14" s="1"/>
  <c r="M3" i="15" s="1"/>
  <c r="O5" i="22"/>
  <c r="N9" i="17"/>
  <c r="N32" i="21"/>
  <c r="M18" i="18"/>
  <c r="N67" i="17"/>
  <c r="M54" i="17"/>
  <c r="H28" i="17" l="1"/>
  <c r="M61" i="17"/>
  <c r="M16" i="18" s="1"/>
  <c r="D33" i="14"/>
  <c r="E11" i="18"/>
  <c r="I57" i="13" s="1"/>
  <c r="D31" i="14"/>
  <c r="D34" i="14" s="1"/>
  <c r="J28" i="17"/>
  <c r="J27" i="17"/>
  <c r="L34" i="21"/>
  <c r="N27" i="18"/>
  <c r="N31" i="18" s="1"/>
  <c r="H29" i="17"/>
  <c r="K32" i="17"/>
  <c r="M33" i="17" s="1"/>
  <c r="L10" i="14" s="1"/>
  <c r="K44" i="17"/>
  <c r="K47" i="17" s="1"/>
  <c r="M9" i="15"/>
  <c r="M42" i="15" s="1"/>
  <c r="M44" i="15" s="1"/>
  <c r="M48" i="15" s="1"/>
  <c r="G19" i="17"/>
  <c r="G21" i="17" s="1"/>
  <c r="G10" i="18" s="1"/>
  <c r="H11" i="17" s="1"/>
  <c r="G47" i="17"/>
  <c r="E24" i="18"/>
  <c r="E25" i="18" s="1"/>
  <c r="E33" i="18" s="1"/>
  <c r="I68" i="13"/>
  <c r="F17" i="18"/>
  <c r="G41" i="17"/>
  <c r="L8" i="14"/>
  <c r="L5" i="15"/>
  <c r="L7" i="15" s="1"/>
  <c r="E9" i="15"/>
  <c r="E9" i="16" s="1"/>
  <c r="J13" i="17"/>
  <c r="J14" i="17"/>
  <c r="J43" i="17" s="1"/>
  <c r="G33" i="17"/>
  <c r="F10" i="14" s="1"/>
  <c r="N15" i="21"/>
  <c r="M5" i="18"/>
  <c r="F8" i="14"/>
  <c r="F5" i="15"/>
  <c r="F7" i="15" s="1"/>
  <c r="J29" i="17"/>
  <c r="E5" i="15"/>
  <c r="E8" i="14"/>
  <c r="H13" i="17"/>
  <c r="H14" i="17"/>
  <c r="F35" i="17"/>
  <c r="F37" i="17" s="1"/>
  <c r="F14" i="18" s="1"/>
  <c r="M29" i="21"/>
  <c r="M6" i="18" s="1"/>
  <c r="N52" i="17"/>
  <c r="N65" i="17" s="1"/>
  <c r="N23" i="17"/>
  <c r="N39" i="17"/>
  <c r="N54" i="17"/>
  <c r="H31" i="17" l="1"/>
  <c r="H32" i="17" s="1"/>
  <c r="N61" i="17"/>
  <c r="N16" i="18" s="1"/>
  <c r="J31" i="17"/>
  <c r="J44" i="17" s="1"/>
  <c r="J47" i="17" s="1"/>
  <c r="E12" i="18"/>
  <c r="E21" i="18" s="1"/>
  <c r="E34" i="18" s="1"/>
  <c r="M34" i="21"/>
  <c r="M9" i="16"/>
  <c r="M39" i="16" s="1"/>
  <c r="M41" i="16" s="1"/>
  <c r="H44" i="17"/>
  <c r="F5" i="16"/>
  <c r="F7" i="16" s="1"/>
  <c r="G50" i="17"/>
  <c r="H41" i="17" s="1"/>
  <c r="L9" i="15"/>
  <c r="L42" i="15" s="1"/>
  <c r="L44" i="15" s="1"/>
  <c r="L48" i="15" s="1"/>
  <c r="L5" i="16"/>
  <c r="L7" i="16" s="1"/>
  <c r="G25" i="17"/>
  <c r="G35" i="17" s="1"/>
  <c r="G37" i="17" s="1"/>
  <c r="G14" i="18" s="1"/>
  <c r="F19" i="18"/>
  <c r="E42" i="15"/>
  <c r="N5" i="18"/>
  <c r="E39" i="16"/>
  <c r="E5" i="16"/>
  <c r="E7" i="15"/>
  <c r="J15" i="17"/>
  <c r="H43" i="17"/>
  <c r="H15" i="17"/>
  <c r="H17" i="17" s="1"/>
  <c r="F9" i="15"/>
  <c r="F42" i="15" s="1"/>
  <c r="F44" i="15" s="1"/>
  <c r="F48" i="15" s="1"/>
  <c r="N29" i="21"/>
  <c r="N6" i="18" s="1"/>
  <c r="I7" i="18"/>
  <c r="J32" i="17" l="1"/>
  <c r="E16" i="14"/>
  <c r="I61" i="13"/>
  <c r="N34" i="21"/>
  <c r="G17" i="18"/>
  <c r="G19" i="18" s="1"/>
  <c r="L9" i="16"/>
  <c r="L39" i="16" s="1"/>
  <c r="L41" i="16" s="1"/>
  <c r="F9" i="16"/>
  <c r="F39" i="16" s="1"/>
  <c r="F41" i="16" s="1"/>
  <c r="E44" i="15"/>
  <c r="E48" i="15" s="1"/>
  <c r="E50" i="15" s="1"/>
  <c r="F47" i="15" s="1"/>
  <c r="F50" i="15" s="1"/>
  <c r="G47" i="15" s="1"/>
  <c r="L33" i="17"/>
  <c r="H47" i="17"/>
  <c r="H50" i="17" s="1"/>
  <c r="H25" i="17"/>
  <c r="G5" i="14"/>
  <c r="E7" i="16"/>
  <c r="E41" i="16" s="1"/>
  <c r="H19" i="17"/>
  <c r="H21" i="17" s="1"/>
  <c r="H10" i="18" s="1"/>
  <c r="H33" i="17"/>
  <c r="G10" i="14" s="1"/>
  <c r="L17" i="17"/>
  <c r="K5" i="14" s="1"/>
  <c r="I65" i="13" l="1"/>
  <c r="E30" i="16"/>
  <c r="E27" i="14"/>
  <c r="E29" i="14" s="1"/>
  <c r="K10" i="14"/>
  <c r="I41" i="17"/>
  <c r="H17" i="18"/>
  <c r="K5" i="15"/>
  <c r="K7" i="15" s="1"/>
  <c r="K8" i="14"/>
  <c r="I11" i="17"/>
  <c r="G8" i="14"/>
  <c r="G5" i="15"/>
  <c r="G5" i="16" s="1"/>
  <c r="H35" i="17"/>
  <c r="H37" i="17" s="1"/>
  <c r="H14" i="18" s="1"/>
  <c r="G9" i="15"/>
  <c r="G9" i="16" s="1"/>
  <c r="E46" i="16"/>
  <c r="F46" i="16" s="1"/>
  <c r="E45" i="16"/>
  <c r="F43" i="16" s="1"/>
  <c r="F45" i="16" s="1"/>
  <c r="G43" i="16" s="1"/>
  <c r="J7" i="18"/>
  <c r="J48" i="17" l="1"/>
  <c r="I36" i="15" s="1"/>
  <c r="E33" i="14"/>
  <c r="E31" i="14"/>
  <c r="F11" i="18"/>
  <c r="J57" i="13" s="1"/>
  <c r="I69" i="13"/>
  <c r="I13" i="17" s="1"/>
  <c r="K9" i="15"/>
  <c r="K5" i="16"/>
  <c r="K7" i="16" s="1"/>
  <c r="G39" i="16"/>
  <c r="G42" i="15"/>
  <c r="G7" i="16"/>
  <c r="H19" i="18"/>
  <c r="I25" i="17"/>
  <c r="G7" i="15"/>
  <c r="I24" i="14" l="1"/>
  <c r="I36" i="16" s="1"/>
  <c r="I29" i="17"/>
  <c r="O29" i="17" s="1"/>
  <c r="O13" i="17"/>
  <c r="I14" i="17"/>
  <c r="J68" i="13"/>
  <c r="F24" i="18"/>
  <c r="F25" i="18" s="1"/>
  <c r="F33" i="18" s="1"/>
  <c r="I27" i="17"/>
  <c r="I28" i="17"/>
  <c r="O28" i="17" s="1"/>
  <c r="F12" i="18"/>
  <c r="F21" i="18" s="1"/>
  <c r="E34" i="14"/>
  <c r="K9" i="16"/>
  <c r="K39" i="16" s="1"/>
  <c r="K41" i="16" s="1"/>
  <c r="K42" i="15"/>
  <c r="K44" i="15" s="1"/>
  <c r="K48" i="15" s="1"/>
  <c r="G44" i="15"/>
  <c r="G48" i="15" s="1"/>
  <c r="G50" i="15" s="1"/>
  <c r="H47" i="15" s="1"/>
  <c r="G41" i="16"/>
  <c r="K7" i="18"/>
  <c r="F16" i="14" l="1"/>
  <c r="J61" i="13"/>
  <c r="J65" i="13" s="1"/>
  <c r="O27" i="17"/>
  <c r="I31" i="17"/>
  <c r="I32" i="17" s="1"/>
  <c r="J69" i="13"/>
  <c r="F34" i="18"/>
  <c r="I43" i="17"/>
  <c r="O14" i="17"/>
  <c r="O15" i="17" s="1"/>
  <c r="I15" i="17"/>
  <c r="G45" i="16"/>
  <c r="H43" i="16" s="1"/>
  <c r="G46" i="16"/>
  <c r="L7" i="18"/>
  <c r="K68" i="13" l="1"/>
  <c r="G24" i="18"/>
  <c r="G25" i="18" s="1"/>
  <c r="G33" i="18" s="1"/>
  <c r="O31" i="17"/>
  <c r="I44" i="17"/>
  <c r="O44" i="17" s="1"/>
  <c r="O43" i="17"/>
  <c r="I47" i="17"/>
  <c r="I50" i="17" s="1"/>
  <c r="K33" i="17"/>
  <c r="J10" i="14" s="1"/>
  <c r="O32" i="17"/>
  <c r="J33" i="17"/>
  <c r="I10" i="14" s="1"/>
  <c r="I33" i="17"/>
  <c r="K17" i="17"/>
  <c r="J5" i="14" s="1"/>
  <c r="J17" i="17"/>
  <c r="I5" i="14" s="1"/>
  <c r="I17" i="17"/>
  <c r="I19" i="17" s="1"/>
  <c r="I21" i="17" s="1"/>
  <c r="I10" i="18" s="1"/>
  <c r="J11" i="17" s="1"/>
  <c r="J19" i="17" s="1"/>
  <c r="J21" i="17" s="1"/>
  <c r="J10" i="18" s="1"/>
  <c r="K11" i="17" s="1"/>
  <c r="K19" i="17" s="1"/>
  <c r="K21" i="17" s="1"/>
  <c r="K10" i="18" s="1"/>
  <c r="L11" i="17" s="1"/>
  <c r="L19" i="17" s="1"/>
  <c r="L21" i="17" s="1"/>
  <c r="L10" i="18" s="1"/>
  <c r="M11" i="17" s="1"/>
  <c r="M19" i="17" s="1"/>
  <c r="M21" i="17" s="1"/>
  <c r="M10" i="18" s="1"/>
  <c r="F30" i="16"/>
  <c r="F27" i="14"/>
  <c r="F29" i="14" s="1"/>
  <c r="M7" i="18"/>
  <c r="I5" i="15" l="1"/>
  <c r="I7" i="15" s="1"/>
  <c r="I8" i="14"/>
  <c r="J41" i="17"/>
  <c r="J50" i="17" s="1"/>
  <c r="I17" i="18"/>
  <c r="J5" i="15"/>
  <c r="J7" i="15" s="1"/>
  <c r="J8" i="14"/>
  <c r="J9" i="15"/>
  <c r="J42" i="15" s="1"/>
  <c r="H5" i="14"/>
  <c r="O17" i="17"/>
  <c r="O19" i="17" s="1"/>
  <c r="O21" i="17" s="1"/>
  <c r="O47" i="17"/>
  <c r="H10" i="14"/>
  <c r="O33" i="17"/>
  <c r="O35" i="17" s="1"/>
  <c r="O37" i="17" s="1"/>
  <c r="I35" i="17"/>
  <c r="I37" i="17" s="1"/>
  <c r="I14" i="18" s="1"/>
  <c r="G11" i="18"/>
  <c r="K57" i="13" s="1"/>
  <c r="F31" i="14"/>
  <c r="F33" i="14"/>
  <c r="I9" i="15"/>
  <c r="I42" i="15" s="1"/>
  <c r="N11" i="17"/>
  <c r="N19" i="17" s="1"/>
  <c r="N21" i="17" s="1"/>
  <c r="N10" i="18" s="1"/>
  <c r="N7" i="18"/>
  <c r="J5" i="16" l="1"/>
  <c r="J7" i="16" s="1"/>
  <c r="I44" i="15"/>
  <c r="I48" i="15" s="1"/>
  <c r="I5" i="16"/>
  <c r="I7" i="16" s="1"/>
  <c r="I9" i="16"/>
  <c r="I39" i="16" s="1"/>
  <c r="J9" i="16"/>
  <c r="J39" i="16" s="1"/>
  <c r="J41" i="16" s="1"/>
  <c r="G12" i="18"/>
  <c r="G21" i="18" s="1"/>
  <c r="G34" i="18" s="1"/>
  <c r="H9" i="15"/>
  <c r="H9" i="16" s="1"/>
  <c r="N10" i="14"/>
  <c r="J25" i="17"/>
  <c r="J35" i="17" s="1"/>
  <c r="J37" i="17" s="1"/>
  <c r="J14" i="18" s="1"/>
  <c r="I19" i="18"/>
  <c r="F34" i="14"/>
  <c r="H5" i="15"/>
  <c r="N5" i="14"/>
  <c r="H8" i="14"/>
  <c r="K41" i="17"/>
  <c r="K50" i="17" s="1"/>
  <c r="J17" i="18"/>
  <c r="J44" i="15"/>
  <c r="J48" i="15" s="1"/>
  <c r="I41" i="16" l="1"/>
  <c r="K17" i="18"/>
  <c r="L41" i="17"/>
  <c r="H5" i="16"/>
  <c r="H7" i="15"/>
  <c r="N5" i="15"/>
  <c r="K25" i="17"/>
  <c r="K35" i="17" s="1"/>
  <c r="K37" i="17" s="1"/>
  <c r="K14" i="18" s="1"/>
  <c r="L25" i="17" s="1"/>
  <c r="L35" i="17" s="1"/>
  <c r="L37" i="17" s="1"/>
  <c r="L14" i="18" s="1"/>
  <c r="M25" i="17" s="1"/>
  <c r="M35" i="17" s="1"/>
  <c r="M37" i="17" s="1"/>
  <c r="M14" i="18" s="1"/>
  <c r="N25" i="17" s="1"/>
  <c r="N35" i="17" s="1"/>
  <c r="N37" i="17" s="1"/>
  <c r="N14" i="18" s="1"/>
  <c r="J19" i="18"/>
  <c r="H39" i="16"/>
  <c r="N9" i="16"/>
  <c r="N39" i="16" s="1"/>
  <c r="N41" i="16" s="1"/>
  <c r="N8" i="14"/>
  <c r="H42" i="15"/>
  <c r="N9" i="15"/>
  <c r="N42" i="15" s="1"/>
  <c r="G16" i="14"/>
  <c r="K61" i="13"/>
  <c r="K65" i="13" s="1"/>
  <c r="K69" i="13" s="1"/>
  <c r="M48" i="17" l="1"/>
  <c r="L24" i="14" s="1"/>
  <c r="L50" i="17"/>
  <c r="L17" i="18" s="1"/>
  <c r="L19" i="18" s="1"/>
  <c r="L68" i="13"/>
  <c r="H24" i="18"/>
  <c r="H25" i="18" s="1"/>
  <c r="H33" i="18" s="1"/>
  <c r="H7" i="16"/>
  <c r="H41" i="16" s="1"/>
  <c r="N5" i="16"/>
  <c r="G30" i="16"/>
  <c r="G27" i="14"/>
  <c r="G29" i="14" s="1"/>
  <c r="H44" i="15"/>
  <c r="H48" i="15" s="1"/>
  <c r="H50" i="15" s="1"/>
  <c r="I47" i="15" s="1"/>
  <c r="I50" i="15" s="1"/>
  <c r="J47" i="15" s="1"/>
  <c r="J50" i="15" s="1"/>
  <c r="K47" i="15" s="1"/>
  <c r="K50" i="15" s="1"/>
  <c r="N7" i="15"/>
  <c r="N44" i="15" s="1"/>
  <c r="K19" i="18"/>
  <c r="M41" i="17" l="1"/>
  <c r="M50" i="17" s="1"/>
  <c r="L36" i="15"/>
  <c r="N36" i="15" s="1"/>
  <c r="O48" i="17"/>
  <c r="O50" i="17" s="1"/>
  <c r="G33" i="14"/>
  <c r="G31" i="14"/>
  <c r="H11" i="18"/>
  <c r="L57" i="13" s="1"/>
  <c r="N41" i="17"/>
  <c r="N50" i="17" s="1"/>
  <c r="N17" i="18" s="1"/>
  <c r="M17" i="18"/>
  <c r="M19" i="18" s="1"/>
  <c r="H45" i="16"/>
  <c r="I43" i="16" s="1"/>
  <c r="I45" i="16" s="1"/>
  <c r="J43" i="16" s="1"/>
  <c r="J45" i="16" s="1"/>
  <c r="K43" i="16" s="1"/>
  <c r="K45" i="16" s="1"/>
  <c r="L43" i="16" s="1"/>
  <c r="L45" i="16" s="1"/>
  <c r="M43" i="16" s="1"/>
  <c r="M45" i="16" s="1"/>
  <c r="H46" i="16"/>
  <c r="I46" i="16" s="1"/>
  <c r="J46" i="16" s="1"/>
  <c r="K46" i="16" s="1"/>
  <c r="L46" i="16" s="1"/>
  <c r="M46" i="16" s="1"/>
  <c r="M49" i="15"/>
  <c r="L47" i="15"/>
  <c r="L50" i="15" s="1"/>
  <c r="M47" i="15" s="1"/>
  <c r="N24" i="14" l="1"/>
  <c r="L36" i="16"/>
  <c r="N36" i="16" s="1"/>
  <c r="M50" i="15"/>
  <c r="H12" i="18"/>
  <c r="H21" i="18" s="1"/>
  <c r="H34" i="18" s="1"/>
  <c r="G34" i="14"/>
  <c r="H16" i="14" l="1"/>
  <c r="L61" i="13"/>
  <c r="L65" i="13" s="1"/>
  <c r="L69" i="13" s="1"/>
  <c r="I24" i="18" l="1"/>
  <c r="I25" i="18" s="1"/>
  <c r="I33" i="18" s="1"/>
  <c r="M68" i="13"/>
  <c r="H30" i="16"/>
  <c r="H27" i="14"/>
  <c r="H29" i="14" s="1"/>
  <c r="I11" i="18" l="1"/>
  <c r="M57" i="13" s="1"/>
  <c r="H33" i="14"/>
  <c r="H31" i="14"/>
  <c r="H34" i="14" l="1"/>
  <c r="I12" i="18"/>
  <c r="I21" i="18" s="1"/>
  <c r="I34" i="18" s="1"/>
  <c r="I16" i="14" l="1"/>
  <c r="M61" i="13"/>
  <c r="M65" i="13" s="1"/>
  <c r="M69" i="13" s="1"/>
  <c r="N68" i="13" l="1"/>
  <c r="J24" i="18"/>
  <c r="J25" i="18" s="1"/>
  <c r="J33" i="18" s="1"/>
  <c r="I30" i="16"/>
  <c r="I27" i="14"/>
  <c r="I29" i="14" s="1"/>
  <c r="I31" i="14" l="1"/>
  <c r="I33" i="14"/>
  <c r="J11" i="18"/>
  <c r="N57" i="13" s="1"/>
  <c r="J12" i="18" l="1"/>
  <c r="J21" i="18" s="1"/>
  <c r="J34" i="18" s="1"/>
  <c r="I34" i="14"/>
  <c r="J16" i="14" l="1"/>
  <c r="N61" i="13"/>
  <c r="N65" i="13" s="1"/>
  <c r="N69" i="13" s="1"/>
  <c r="K24" i="18" l="1"/>
  <c r="K25" i="18" s="1"/>
  <c r="K33" i="18" s="1"/>
  <c r="O68" i="13"/>
  <c r="J30" i="16"/>
  <c r="J27" i="14"/>
  <c r="J29" i="14" s="1"/>
  <c r="K11" i="18" l="1"/>
  <c r="O57" i="13" s="1"/>
  <c r="J33" i="14"/>
  <c r="J31" i="14"/>
  <c r="J34" i="14" l="1"/>
  <c r="K12" i="18"/>
  <c r="K21" i="18" s="1"/>
  <c r="K34" i="18" s="1"/>
  <c r="K16" i="14" l="1"/>
  <c r="O61" i="13"/>
  <c r="O65" i="13" s="1"/>
  <c r="O69" i="13" s="1"/>
  <c r="L24" i="18" l="1"/>
  <c r="L25" i="18" s="1"/>
  <c r="L33" i="18" s="1"/>
  <c r="P68" i="13"/>
  <c r="K30" i="16"/>
  <c r="K27" i="14"/>
  <c r="K29" i="14" s="1"/>
  <c r="K31" i="14" l="1"/>
  <c r="K33" i="14"/>
  <c r="L11" i="18"/>
  <c r="P57" i="13" s="1"/>
  <c r="L12" i="18" l="1"/>
  <c r="L21" i="18" s="1"/>
  <c r="L34" i="18" s="1"/>
  <c r="K34" i="14"/>
  <c r="L16" i="14" l="1"/>
  <c r="P61" i="13"/>
  <c r="P65" i="13" s="1"/>
  <c r="P69" i="13" s="1"/>
  <c r="Q68" i="13" l="1"/>
  <c r="M24" i="18"/>
  <c r="M25" i="18" s="1"/>
  <c r="M33" i="18" s="1"/>
  <c r="L30" i="16"/>
  <c r="L27" i="14"/>
  <c r="L29" i="14" s="1"/>
  <c r="M11" i="18" l="1"/>
  <c r="Q57" i="13" s="1"/>
  <c r="L33" i="14"/>
  <c r="L31" i="14"/>
  <c r="L34" i="14" l="1"/>
  <c r="M12" i="18"/>
  <c r="M21" i="18" s="1"/>
  <c r="M34" i="18" s="1"/>
  <c r="M16" i="14" l="1"/>
  <c r="Q61" i="13"/>
  <c r="R57" i="13"/>
  <c r="R61" i="13" s="1"/>
  <c r="M30" i="16" l="1"/>
  <c r="N30" i="16" s="1"/>
  <c r="M27" i="14"/>
  <c r="M29" i="14" s="1"/>
  <c r="N16" i="14"/>
  <c r="N27" i="14" s="1"/>
  <c r="N29" i="14" l="1"/>
  <c r="M31" i="14"/>
  <c r="M34" i="14" s="1"/>
  <c r="M33" i="14"/>
  <c r="N11" i="18"/>
  <c r="N12" i="18" s="1"/>
  <c r="N68" i="17" l="1"/>
  <c r="N70" i="17" s="1"/>
  <c r="N18" i="18" s="1"/>
  <c r="N19" i="18" s="1"/>
  <c r="N21" i="18" s="1"/>
  <c r="O68" i="17"/>
  <c r="O70" i="17" s="1"/>
  <c r="Q65" i="13"/>
  <c r="Q69" i="13" s="1"/>
  <c r="N24" i="18" s="1"/>
  <c r="N25" i="18" s="1"/>
  <c r="N33" i="18" s="1"/>
  <c r="R63" i="13"/>
  <c r="R65" i="13" s="1"/>
  <c r="R69" i="13" s="1"/>
  <c r="N34" i="18" l="1"/>
</calcChain>
</file>

<file path=xl/sharedStrings.xml><?xml version="1.0" encoding="utf-8"?>
<sst xmlns="http://schemas.openxmlformats.org/spreadsheetml/2006/main" count="526" uniqueCount="245">
  <si>
    <t>Directors</t>
  </si>
  <si>
    <t>Taxation</t>
  </si>
  <si>
    <t>Depreciation</t>
  </si>
  <si>
    <t>Total</t>
  </si>
  <si>
    <t>Fixed Assets</t>
  </si>
  <si>
    <t>Stock</t>
  </si>
  <si>
    <t>Debtors</t>
  </si>
  <si>
    <t>Cash</t>
  </si>
  <si>
    <t>Other Creditors</t>
  </si>
  <si>
    <t>Reserves</t>
  </si>
  <si>
    <t>Opening Balances</t>
  </si>
  <si>
    <t>Additions</t>
  </si>
  <si>
    <t>Closing Balances</t>
  </si>
  <si>
    <t>Sales</t>
  </si>
  <si>
    <t>Discounts Provn</t>
  </si>
  <si>
    <t>Tota Sales</t>
  </si>
  <si>
    <t>Purchases - All materials</t>
  </si>
  <si>
    <t>Purchase %</t>
  </si>
  <si>
    <t>Gross Salaries &amp; Wages</t>
  </si>
  <si>
    <t>Pension</t>
  </si>
  <si>
    <t>Total Payroll</t>
  </si>
  <si>
    <t>Wages %</t>
  </si>
  <si>
    <t>Variable Costs</t>
  </si>
  <si>
    <t>Gross Contribution I</t>
  </si>
  <si>
    <t>GP%</t>
  </si>
  <si>
    <t>Admin Expenses</t>
  </si>
  <si>
    <t>% age</t>
  </si>
  <si>
    <t>Gross Contribution II</t>
  </si>
  <si>
    <t>Repairs &amp; Renewals</t>
  </si>
  <si>
    <t>Vehicle Lease Charges</t>
  </si>
  <si>
    <t>P&amp;L on SOFA</t>
  </si>
  <si>
    <t>Operating profit Pre Directors</t>
  </si>
  <si>
    <t>Exceptional TVTE Closure</t>
  </si>
  <si>
    <t>Other Income</t>
  </si>
  <si>
    <t>Interest Receivable</t>
  </si>
  <si>
    <t>Profit &amp; Loss before Tax</t>
  </si>
  <si>
    <t>Dividends</t>
  </si>
  <si>
    <t>Retained Profit</t>
  </si>
  <si>
    <t>Retained Profit YTD</t>
  </si>
  <si>
    <t>Plant Hire</t>
  </si>
  <si>
    <t>Advertising</t>
  </si>
  <si>
    <t>Auditors Remuneration</t>
  </si>
  <si>
    <t>Bad debts</t>
  </si>
  <si>
    <t>Bank Charges</t>
  </si>
  <si>
    <t>Cleaning &amp; Sundries</t>
  </si>
  <si>
    <t>Insurance</t>
  </si>
  <si>
    <t>Legal &amp; Professional Fees</t>
  </si>
  <si>
    <t>Light &amp; Heat</t>
  </si>
  <si>
    <t>Motor running Expenses</t>
  </si>
  <si>
    <t>Other Operating Leases</t>
  </si>
  <si>
    <t>Print post &amp; stationery</t>
  </si>
  <si>
    <t>Recruitment /Relocation costs</t>
  </si>
  <si>
    <t>Rent &amp; rates</t>
  </si>
  <si>
    <t>Ex gratia payment</t>
  </si>
  <si>
    <t>Staff Training</t>
  </si>
  <si>
    <t>Telephone &amp; Fax</t>
  </si>
  <si>
    <t>Travel &amp; entertaining</t>
  </si>
  <si>
    <t>HP Interest Payable</t>
  </si>
  <si>
    <t>Norscreen Profit &amp; Loss Summary 2005-2006</t>
  </si>
  <si>
    <t>Norscreen Profit &amp; Loss Summary 2006-2007</t>
  </si>
  <si>
    <t>Paid</t>
  </si>
  <si>
    <t>Bad Debts</t>
  </si>
  <si>
    <t>Other Interest</t>
  </si>
  <si>
    <t>Opening Balance</t>
  </si>
  <si>
    <t>Net Inputs</t>
  </si>
  <si>
    <t>Closing Balance</t>
  </si>
  <si>
    <t>VAT</t>
  </si>
  <si>
    <t>Total Spend</t>
  </si>
  <si>
    <t>Net Movement</t>
  </si>
  <si>
    <t>Total Movement</t>
  </si>
  <si>
    <t>Total Sales</t>
  </si>
  <si>
    <t>Receipts</t>
  </si>
  <si>
    <t>Closing Bal</t>
  </si>
  <si>
    <t>Opening Bal</t>
  </si>
  <si>
    <t>Closing Bal Trade</t>
  </si>
  <si>
    <t>Other Debtors</t>
  </si>
  <si>
    <t>Total Debtors</t>
  </si>
  <si>
    <t>Total Movement Period</t>
  </si>
  <si>
    <t>Total Movement YTD</t>
  </si>
  <si>
    <t>Debtors Control</t>
  </si>
  <si>
    <t xml:space="preserve">   Purchase %</t>
  </si>
  <si>
    <t>Reserves BF</t>
  </si>
  <si>
    <t>Reserves CF</t>
  </si>
  <si>
    <t xml:space="preserve">   Net Sales</t>
  </si>
  <si>
    <t xml:space="preserve">   VAT</t>
  </si>
  <si>
    <t>Creditors Control</t>
  </si>
  <si>
    <t>Total Purchases</t>
  </si>
  <si>
    <t>Payments</t>
  </si>
  <si>
    <t>NET VAT</t>
  </si>
  <si>
    <t xml:space="preserve">  VAT Inputs</t>
  </si>
  <si>
    <t xml:space="preserve">  VAT Outputs</t>
  </si>
  <si>
    <t>Opening Cash</t>
  </si>
  <si>
    <t>Closing cash</t>
  </si>
  <si>
    <t>Creditor payments</t>
  </si>
  <si>
    <t xml:space="preserve">  Purchases - All materials</t>
  </si>
  <si>
    <t xml:space="preserve">  Purchases - Stock</t>
  </si>
  <si>
    <t xml:space="preserve">  Cleaning &amp; Sundries</t>
  </si>
  <si>
    <t xml:space="preserve">  Legal &amp; Professional Fees</t>
  </si>
  <si>
    <t xml:space="preserve">  Light &amp; Heat</t>
  </si>
  <si>
    <t xml:space="preserve">  Other Operating Leases</t>
  </si>
  <si>
    <t xml:space="preserve">  Print post &amp; stationery</t>
  </si>
  <si>
    <t xml:space="preserve">  Rent &amp; rates</t>
  </si>
  <si>
    <t xml:space="preserve">  Staff Training</t>
  </si>
  <si>
    <t xml:space="preserve">  Telephone &amp; Fax</t>
  </si>
  <si>
    <t xml:space="preserve">  Travel &amp; entertaining</t>
  </si>
  <si>
    <t xml:space="preserve">  Repairs &amp; Renewals</t>
  </si>
  <si>
    <t>Nominal payments</t>
  </si>
  <si>
    <t xml:space="preserve">  Bank Charges</t>
  </si>
  <si>
    <t xml:space="preserve">  Insurance</t>
  </si>
  <si>
    <t xml:space="preserve">  Other Interest</t>
  </si>
  <si>
    <t xml:space="preserve">  HP Interest Payable</t>
  </si>
  <si>
    <t xml:space="preserve">  Directors</t>
  </si>
  <si>
    <t>Nominal Payments</t>
  </si>
  <si>
    <t>Balance Sheet payments</t>
  </si>
  <si>
    <t xml:space="preserve">  HP Capital payments</t>
  </si>
  <si>
    <t xml:space="preserve">  VAT Payments</t>
  </si>
  <si>
    <t xml:space="preserve">  Taxation Other</t>
  </si>
  <si>
    <t xml:space="preserve">  Fixed Assets &amp; Deposits</t>
  </si>
  <si>
    <t>Fixed assets</t>
  </si>
  <si>
    <t>Current Assets</t>
  </si>
  <si>
    <t>Vat</t>
  </si>
  <si>
    <t>Current liabilities</t>
  </si>
  <si>
    <t>Share Capital</t>
  </si>
  <si>
    <t>HP Control</t>
  </si>
  <si>
    <t>Shareholders Funds</t>
  </si>
  <si>
    <t>Long Term Creditors</t>
  </si>
  <si>
    <t>Deferred tax</t>
  </si>
  <si>
    <t xml:space="preserve">  Net Pay</t>
  </si>
  <si>
    <t xml:space="preserve">  Tax &amp; NIC</t>
  </si>
  <si>
    <t>TAXATION</t>
  </si>
  <si>
    <t>PAYE NIC</t>
  </si>
  <si>
    <t>CORP TAX</t>
  </si>
  <si>
    <t>Payments PAYE/NIC</t>
  </si>
  <si>
    <t>HP Funding</t>
  </si>
  <si>
    <t xml:space="preserve">  Rent</t>
  </si>
  <si>
    <t xml:space="preserve">  General Rates</t>
  </si>
  <si>
    <t xml:space="preserve">   Net purchases Stock</t>
  </si>
  <si>
    <t>P&amp;L Account</t>
  </si>
  <si>
    <t>Drawings</t>
  </si>
  <si>
    <t>Capital</t>
  </si>
  <si>
    <t>Agreement</t>
  </si>
  <si>
    <t>Equipment</t>
  </si>
  <si>
    <t>Bal</t>
  </si>
  <si>
    <t>Balance</t>
  </si>
  <si>
    <t>Repayable</t>
  </si>
  <si>
    <t>Chk</t>
  </si>
  <si>
    <t>No</t>
  </si>
  <si>
    <t>31/03/06</t>
  </si>
  <si>
    <t>3mth</t>
  </si>
  <si>
    <t>2006/7</t>
  </si>
  <si>
    <t>2007/8</t>
  </si>
  <si>
    <t>2008/9</t>
  </si>
  <si>
    <t>2009/10</t>
  </si>
  <si>
    <t>2010/11</t>
  </si>
  <si>
    <t>2011/12</t>
  </si>
  <si>
    <t>2012 +</t>
  </si>
  <si>
    <t>Total HP</t>
  </si>
  <si>
    <t>Total Loans</t>
  </si>
  <si>
    <t>Interest</t>
  </si>
  <si>
    <t>Adjusted Figures re new balances</t>
  </si>
  <si>
    <t xml:space="preserve">Hire Purchase Overview </t>
  </si>
  <si>
    <t>Movement</t>
  </si>
  <si>
    <t>BF Depreciation</t>
  </si>
  <si>
    <t xml:space="preserve">  VAT on Nominal</t>
  </si>
  <si>
    <t>Defered Tax</t>
  </si>
  <si>
    <t>B/F</t>
  </si>
  <si>
    <t xml:space="preserve">  External Contractor</t>
  </si>
  <si>
    <t xml:space="preserve">  Management Charges</t>
  </si>
  <si>
    <t xml:space="preserve">  External Trainers</t>
  </si>
  <si>
    <t>Ambic Academy Cash Flow Gross Payments</t>
  </si>
  <si>
    <t>Ambic Academy VAT Control Summary</t>
  </si>
  <si>
    <t xml:space="preserve"> </t>
  </si>
  <si>
    <t>Turnover</t>
  </si>
  <si>
    <t>Direct Wages</t>
  </si>
  <si>
    <t>Non Productive Salaries</t>
  </si>
  <si>
    <t>Heat Light &amp; Power</t>
  </si>
  <si>
    <t>Motor Expenses</t>
  </si>
  <si>
    <t>Printing &amp; Stationery</t>
  </si>
  <si>
    <t>Maintenance</t>
  </si>
  <si>
    <t>Waste Removal</t>
  </si>
  <si>
    <t>General Expenses</t>
  </si>
  <si>
    <t>Mortgage</t>
  </si>
  <si>
    <t>Loans</t>
  </si>
  <si>
    <t>Purchases - All materials*</t>
  </si>
  <si>
    <t>NBV</t>
  </si>
  <si>
    <t xml:space="preserve">  Mortgage</t>
  </si>
  <si>
    <t>Balance Sheet Payments</t>
  </si>
  <si>
    <t>Charge</t>
  </si>
  <si>
    <t>Repayments</t>
  </si>
  <si>
    <t xml:space="preserve">  Corporation Tax</t>
  </si>
  <si>
    <t>Net Cash</t>
  </si>
  <si>
    <t>Total Interest</t>
  </si>
  <si>
    <t>Creditors</t>
  </si>
  <si>
    <t>Grant</t>
  </si>
  <si>
    <t xml:space="preserve">Taxation </t>
  </si>
  <si>
    <t>Bad Debt</t>
  </si>
  <si>
    <t>HP Payment</t>
  </si>
  <si>
    <t>Net Assets</t>
  </si>
  <si>
    <t>ACTUALS</t>
  </si>
  <si>
    <t>Spend</t>
  </si>
  <si>
    <t>Delivery</t>
  </si>
  <si>
    <t>Rent</t>
  </si>
  <si>
    <t>Rates</t>
  </si>
  <si>
    <t>Equip Hire &amp; Rental</t>
  </si>
  <si>
    <t>Travel &amp; Subsistance</t>
  </si>
  <si>
    <t>Entertaining</t>
  </si>
  <si>
    <t>ICT</t>
  </si>
  <si>
    <t>Postage</t>
  </si>
  <si>
    <t>Certifications</t>
  </si>
  <si>
    <t>Training</t>
  </si>
  <si>
    <t>Canteen</t>
  </si>
  <si>
    <t>Cleaning</t>
  </si>
  <si>
    <t>Health &amp; Safety</t>
  </si>
  <si>
    <t>Quality</t>
  </si>
  <si>
    <t>Subs &amp; Donations</t>
  </si>
  <si>
    <t>CNC Machine</t>
  </si>
  <si>
    <t>BF</t>
  </si>
  <si>
    <t>External Loan</t>
  </si>
  <si>
    <t>Overhead</t>
  </si>
  <si>
    <t>S20</t>
  </si>
  <si>
    <t>vatrate</t>
  </si>
  <si>
    <t>Key</t>
  </si>
  <si>
    <t>P20</t>
  </si>
  <si>
    <t>N0</t>
  </si>
  <si>
    <t>P0</t>
  </si>
  <si>
    <t>P10</t>
  </si>
  <si>
    <t xml:space="preserve">   Net purchases P&amp;L P20</t>
  </si>
  <si>
    <t xml:space="preserve">   Net purchases P&amp;L P10</t>
  </si>
  <si>
    <t xml:space="preserve">   Net Purchases P&amp;L P0</t>
  </si>
  <si>
    <t xml:space="preserve">  Wages</t>
  </si>
  <si>
    <t xml:space="preserve">  Loan Repayment</t>
  </si>
  <si>
    <t xml:space="preserve">  VAT on Fixed Assets</t>
  </si>
  <si>
    <t>Difference</t>
  </si>
  <si>
    <t>New Agreements</t>
  </si>
  <si>
    <t>Novelty PCs Loans Forecast</t>
  </si>
  <si>
    <t>New Loan</t>
  </si>
  <si>
    <t>Loan Interest</t>
  </si>
  <si>
    <t xml:space="preserve">   VAT </t>
  </si>
  <si>
    <t xml:space="preserve">  Purchases - All</t>
  </si>
  <si>
    <t>Company Name</t>
  </si>
  <si>
    <t>Start Date</t>
  </si>
  <si>
    <t>Novelty PCs Ltd</t>
  </si>
  <si>
    <t>Opening Bal PAYE</t>
  </si>
  <si>
    <t>Opening Bal Corp Tax</t>
  </si>
  <si>
    <t>Payments Corp 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</si>
</sst>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%"/>
    <numFmt numFmtId="166" formatCode=";;;"/>
  </numFmts>
  <fonts count="15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sz val="8"/>
      <name val="Arial"/>
    </font>
    <font>
      <b/>
      <sz val="8"/>
      <name val="Arial"/>
    </font>
    <font>
      <b/>
      <i/>
      <sz val="10"/>
      <name val="Arial"/>
      <family val="2"/>
    </font>
    <font>
      <sz val="7"/>
      <name val="Arial"/>
    </font>
    <font>
      <b/>
      <i/>
      <sz val="12"/>
      <name val="Arial"/>
      <family val="2"/>
    </font>
    <font>
      <i/>
      <sz val="10"/>
      <name val="Arial"/>
      <family val="2"/>
    </font>
    <font>
      <sz val="10"/>
      <name val="Arial"/>
    </font>
    <font>
      <sz val="7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59999389629810485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12">
    <xf numFmtId="0" fontId="0" fillId="0" borderId="0" xfId="0"/>
    <xf numFmtId="0" fontId="2" fillId="0" borderId="0" xfId="0" applyFont="1"/>
    <xf numFmtId="1" fontId="0" fillId="0" borderId="0" xfId="0" applyNumberFormat="1"/>
    <xf numFmtId="0" fontId="6" fillId="0" borderId="0" xfId="0" applyFont="1"/>
    <xf numFmtId="0" fontId="0" fillId="0" borderId="2" xfId="0" applyBorder="1"/>
    <xf numFmtId="0" fontId="2" fillId="0" borderId="1" xfId="0" applyFont="1" applyBorder="1"/>
    <xf numFmtId="1" fontId="2" fillId="0" borderId="0" xfId="0" applyNumberFormat="1" applyFont="1"/>
    <xf numFmtId="0" fontId="2" fillId="2" borderId="3" xfId="0" applyFont="1" applyFill="1" applyBorder="1"/>
    <xf numFmtId="17" fontId="2" fillId="2" borderId="4" xfId="0" applyNumberFormat="1" applyFont="1" applyFill="1" applyBorder="1" applyAlignment="1">
      <alignment horizontal="center"/>
    </xf>
    <xf numFmtId="165" fontId="0" fillId="0" borderId="5" xfId="1" applyNumberFormat="1" applyFont="1" applyBorder="1"/>
    <xf numFmtId="0" fontId="0" fillId="2" borderId="6" xfId="0" applyFill="1" applyBorder="1" applyAlignment="1">
      <alignment horizontal="center"/>
    </xf>
    <xf numFmtId="17" fontId="2" fillId="2" borderId="7" xfId="0" applyNumberFormat="1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0" fillId="0" borderId="9" xfId="0" applyBorder="1"/>
    <xf numFmtId="0" fontId="0" fillId="0" borderId="5" xfId="0" applyBorder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9" xfId="0" applyFont="1" applyBorder="1"/>
    <xf numFmtId="0" fontId="2" fillId="0" borderId="5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19" xfId="0" applyFont="1" applyBorder="1"/>
    <xf numFmtId="0" fontId="2" fillId="0" borderId="20" xfId="0" applyFont="1" applyBorder="1"/>
    <xf numFmtId="0" fontId="2" fillId="3" borderId="21" xfId="0" applyFont="1" applyFill="1" applyBorder="1"/>
    <xf numFmtId="165" fontId="5" fillId="3" borderId="22" xfId="0" applyNumberFormat="1" applyFont="1" applyFill="1" applyBorder="1"/>
    <xf numFmtId="165" fontId="5" fillId="3" borderId="23" xfId="0" applyNumberFormat="1" applyFont="1" applyFill="1" applyBorder="1"/>
    <xf numFmtId="0" fontId="0" fillId="4" borderId="9" xfId="0" applyFill="1" applyBorder="1"/>
    <xf numFmtId="0" fontId="0" fillId="4" borderId="5" xfId="0" applyFill="1" applyBorder="1"/>
    <xf numFmtId="0" fontId="2" fillId="4" borderId="11" xfId="0" applyFont="1" applyFill="1" applyBorder="1"/>
    <xf numFmtId="0" fontId="3" fillId="0" borderId="9" xfId="0" applyFont="1" applyBorder="1"/>
    <xf numFmtId="0" fontId="3" fillId="0" borderId="5" xfId="0" applyFont="1" applyBorder="1"/>
    <xf numFmtId="0" fontId="3" fillId="4" borderId="9" xfId="0" applyFont="1" applyFill="1" applyBorder="1"/>
    <xf numFmtId="0" fontId="3" fillId="4" borderId="5" xfId="0" applyFont="1" applyFill="1" applyBorder="1"/>
    <xf numFmtId="0" fontId="2" fillId="2" borderId="12" xfId="0" applyFont="1" applyFill="1" applyBorder="1"/>
    <xf numFmtId="0" fontId="2" fillId="2" borderId="13" xfId="0" applyFont="1" applyFill="1" applyBorder="1"/>
    <xf numFmtId="0" fontId="2" fillId="2" borderId="14" xfId="0" applyFont="1" applyFill="1" applyBorder="1"/>
    <xf numFmtId="166" fontId="0" fillId="0" borderId="24" xfId="0" applyNumberFormat="1" applyBorder="1"/>
    <xf numFmtId="166" fontId="0" fillId="0" borderId="25" xfId="0" applyNumberFormat="1" applyBorder="1"/>
    <xf numFmtId="166" fontId="2" fillId="0" borderId="26" xfId="0" applyNumberFormat="1" applyFont="1" applyBorder="1"/>
    <xf numFmtId="166" fontId="0" fillId="0" borderId="0" xfId="0" applyNumberFormat="1"/>
    <xf numFmtId="0" fontId="7" fillId="0" borderId="9" xfId="0" applyFont="1" applyBorder="1"/>
    <xf numFmtId="165" fontId="7" fillId="0" borderId="5" xfId="1" applyNumberFormat="1" applyFont="1" applyBorder="1"/>
    <xf numFmtId="165" fontId="8" fillId="0" borderId="11" xfId="1" applyNumberFormat="1" applyFont="1" applyBorder="1"/>
    <xf numFmtId="0" fontId="7" fillId="0" borderId="0" xfId="0" applyFont="1"/>
    <xf numFmtId="0" fontId="3" fillId="0" borderId="10" xfId="0" applyFont="1" applyBorder="1"/>
    <xf numFmtId="165" fontId="1" fillId="0" borderId="5" xfId="1" applyNumberFormat="1" applyBorder="1"/>
    <xf numFmtId="1" fontId="0" fillId="0" borderId="5" xfId="0" applyNumberFormat="1" applyBorder="1"/>
    <xf numFmtId="1" fontId="2" fillId="2" borderId="13" xfId="0" applyNumberFormat="1" applyFont="1" applyFill="1" applyBorder="1"/>
    <xf numFmtId="1" fontId="2" fillId="2" borderId="14" xfId="0" applyNumberFormat="1" applyFont="1" applyFill="1" applyBorder="1"/>
    <xf numFmtId="17" fontId="2" fillId="2" borderId="5" xfId="0" applyNumberFormat="1" applyFont="1" applyFill="1" applyBorder="1" applyAlignment="1">
      <alignment horizontal="center"/>
    </xf>
    <xf numFmtId="17" fontId="2" fillId="2" borderId="27" xfId="0" applyNumberFormat="1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2" fillId="2" borderId="30" xfId="0" applyFont="1" applyFill="1" applyBorder="1" applyAlignment="1">
      <alignment horizontal="center"/>
    </xf>
    <xf numFmtId="0" fontId="2" fillId="2" borderId="31" xfId="0" applyFont="1" applyFill="1" applyBorder="1" applyAlignment="1">
      <alignment horizontal="left"/>
    </xf>
    <xf numFmtId="0" fontId="0" fillId="5" borderId="9" xfId="0" applyFill="1" applyBorder="1"/>
    <xf numFmtId="1" fontId="0" fillId="5" borderId="5" xfId="0" applyNumberFormat="1" applyFill="1" applyBorder="1"/>
    <xf numFmtId="0" fontId="2" fillId="5" borderId="11" xfId="0" applyFont="1" applyFill="1" applyBorder="1"/>
    <xf numFmtId="0" fontId="3" fillId="5" borderId="10" xfId="0" applyFont="1" applyFill="1" applyBorder="1"/>
    <xf numFmtId="0" fontId="0" fillId="5" borderId="5" xfId="0" applyFill="1" applyBorder="1"/>
    <xf numFmtId="0" fontId="3" fillId="5" borderId="11" xfId="0" applyFont="1" applyFill="1" applyBorder="1"/>
    <xf numFmtId="0" fontId="2" fillId="2" borderId="9" xfId="0" applyFont="1" applyFill="1" applyBorder="1"/>
    <xf numFmtId="1" fontId="2" fillId="2" borderId="5" xfId="0" applyNumberFormat="1" applyFont="1" applyFill="1" applyBorder="1"/>
    <xf numFmtId="1" fontId="2" fillId="2" borderId="10" xfId="0" applyNumberFormat="1" applyFont="1" applyFill="1" applyBorder="1"/>
    <xf numFmtId="1" fontId="2" fillId="0" borderId="5" xfId="0" applyNumberFormat="1" applyFont="1" applyBorder="1"/>
    <xf numFmtId="1" fontId="2" fillId="0" borderId="10" xfId="0" applyNumberFormat="1" applyFont="1" applyBorder="1"/>
    <xf numFmtId="0" fontId="3" fillId="5" borderId="9" xfId="0" applyFont="1" applyFill="1" applyBorder="1"/>
    <xf numFmtId="1" fontId="3" fillId="5" borderId="5" xfId="0" applyNumberFormat="1" applyFont="1" applyFill="1" applyBorder="1"/>
    <xf numFmtId="1" fontId="0" fillId="4" borderId="5" xfId="0" applyNumberFormat="1" applyFill="1" applyBorder="1"/>
    <xf numFmtId="0" fontId="3" fillId="4" borderId="10" xfId="0" applyFont="1" applyFill="1" applyBorder="1"/>
    <xf numFmtId="0" fontId="9" fillId="4" borderId="9" xfId="0" applyFont="1" applyFill="1" applyBorder="1"/>
    <xf numFmtId="0" fontId="9" fillId="5" borderId="9" xfId="0" applyFont="1" applyFill="1" applyBorder="1"/>
    <xf numFmtId="0" fontId="3" fillId="4" borderId="11" xfId="0" applyFont="1" applyFill="1" applyBorder="1"/>
    <xf numFmtId="0" fontId="3" fillId="0" borderId="0" xfId="0" applyFont="1"/>
    <xf numFmtId="0" fontId="9" fillId="0" borderId="0" xfId="0" applyFont="1"/>
    <xf numFmtId="0" fontId="1" fillId="6" borderId="9" xfId="0" applyFont="1" applyFill="1" applyBorder="1"/>
    <xf numFmtId="1" fontId="1" fillId="6" borderId="5" xfId="0" applyNumberFormat="1" applyFont="1" applyFill="1" applyBorder="1"/>
    <xf numFmtId="0" fontId="1" fillId="6" borderId="11" xfId="0" applyFont="1" applyFill="1" applyBorder="1"/>
    <xf numFmtId="0" fontId="0" fillId="6" borderId="9" xfId="0" applyFill="1" applyBorder="1"/>
    <xf numFmtId="1" fontId="0" fillId="6" borderId="5" xfId="0" applyNumberFormat="1" applyFill="1" applyBorder="1"/>
    <xf numFmtId="0" fontId="3" fillId="6" borderId="11" xfId="0" applyFont="1" applyFill="1" applyBorder="1"/>
    <xf numFmtId="0" fontId="2" fillId="2" borderId="19" xfId="0" applyFont="1" applyFill="1" applyBorder="1"/>
    <xf numFmtId="0" fontId="2" fillId="2" borderId="22" xfId="0" applyFont="1" applyFill="1" applyBorder="1"/>
    <xf numFmtId="0" fontId="0" fillId="0" borderId="32" xfId="0" applyBorder="1"/>
    <xf numFmtId="2" fontId="10" fillId="0" borderId="0" xfId="0" applyNumberFormat="1" applyFont="1"/>
    <xf numFmtId="0" fontId="9" fillId="0" borderId="9" xfId="0" applyFont="1" applyBorder="1"/>
    <xf numFmtId="0" fontId="2" fillId="6" borderId="11" xfId="0" applyFont="1" applyFill="1" applyBorder="1"/>
    <xf numFmtId="0" fontId="0" fillId="7" borderId="9" xfId="0" applyFill="1" applyBorder="1"/>
    <xf numFmtId="1" fontId="0" fillId="7" borderId="5" xfId="0" applyNumberFormat="1" applyFill="1" applyBorder="1"/>
    <xf numFmtId="0" fontId="2" fillId="7" borderId="11" xfId="0" applyFont="1" applyFill="1" applyBorder="1"/>
    <xf numFmtId="0" fontId="0" fillId="7" borderId="5" xfId="0" applyFill="1" applyBorder="1"/>
    <xf numFmtId="0" fontId="0" fillId="3" borderId="9" xfId="0" applyFill="1" applyBorder="1"/>
    <xf numFmtId="0" fontId="0" fillId="3" borderId="5" xfId="0" applyFill="1" applyBorder="1"/>
    <xf numFmtId="1" fontId="0" fillId="3" borderId="5" xfId="0" applyNumberFormat="1" applyFill="1" applyBorder="1"/>
    <xf numFmtId="0" fontId="0" fillId="3" borderId="2" xfId="0" applyFill="1" applyBorder="1"/>
    <xf numFmtId="1" fontId="0" fillId="3" borderId="2" xfId="0" applyNumberFormat="1" applyFill="1" applyBorder="1"/>
    <xf numFmtId="0" fontId="0" fillId="8" borderId="9" xfId="0" applyFill="1" applyBorder="1"/>
    <xf numFmtId="0" fontId="0" fillId="8" borderId="5" xfId="0" applyFill="1" applyBorder="1"/>
    <xf numFmtId="0" fontId="2" fillId="8" borderId="10" xfId="0" applyFont="1" applyFill="1" applyBorder="1"/>
    <xf numFmtId="0" fontId="9" fillId="3" borderId="29" xfId="0" applyFont="1" applyFill="1" applyBorder="1" applyAlignment="1">
      <alignment horizontal="left"/>
    </xf>
    <xf numFmtId="0" fontId="2" fillId="3" borderId="36" xfId="0" applyFont="1" applyFill="1" applyBorder="1"/>
    <xf numFmtId="0" fontId="0" fillId="3" borderId="29" xfId="0" applyFill="1" applyBorder="1"/>
    <xf numFmtId="0" fontId="2" fillId="3" borderId="30" xfId="0" applyFont="1" applyFill="1" applyBorder="1"/>
    <xf numFmtId="0" fontId="9" fillId="3" borderId="37" xfId="0" applyFont="1" applyFill="1" applyBorder="1"/>
    <xf numFmtId="1" fontId="2" fillId="3" borderId="13" xfId="0" applyNumberFormat="1" applyFont="1" applyFill="1" applyBorder="1"/>
    <xf numFmtId="0" fontId="2" fillId="3" borderId="29" xfId="0" applyFont="1" applyFill="1" applyBorder="1"/>
    <xf numFmtId="0" fontId="2" fillId="3" borderId="0" xfId="0" applyFont="1" applyFill="1"/>
    <xf numFmtId="0" fontId="2" fillId="3" borderId="13" xfId="0" applyFont="1" applyFill="1" applyBorder="1"/>
    <xf numFmtId="0" fontId="2" fillId="3" borderId="38" xfId="0" applyFont="1" applyFill="1" applyBorder="1"/>
    <xf numFmtId="0" fontId="0" fillId="3" borderId="32" xfId="0" applyFill="1" applyBorder="1"/>
    <xf numFmtId="0" fontId="2" fillId="3" borderId="1" xfId="0" applyFont="1" applyFill="1" applyBorder="1"/>
    <xf numFmtId="0" fontId="2" fillId="3" borderId="5" xfId="0" applyFont="1" applyFill="1" applyBorder="1"/>
    <xf numFmtId="0" fontId="2" fillId="7" borderId="12" xfId="0" applyFont="1" applyFill="1" applyBorder="1"/>
    <xf numFmtId="0" fontId="2" fillId="7" borderId="13" xfId="0" applyFont="1" applyFill="1" applyBorder="1"/>
    <xf numFmtId="1" fontId="2" fillId="7" borderId="13" xfId="0" applyNumberFormat="1" applyFont="1" applyFill="1" applyBorder="1"/>
    <xf numFmtId="0" fontId="0" fillId="0" borderId="5" xfId="0" applyBorder="1" applyProtection="1">
      <protection locked="0"/>
    </xf>
    <xf numFmtId="0" fontId="3" fillId="0" borderId="5" xfId="0" applyFont="1" applyBorder="1" applyProtection="1">
      <protection locked="0"/>
    </xf>
    <xf numFmtId="164" fontId="5" fillId="0" borderId="0" xfId="0" applyNumberFormat="1" applyFont="1"/>
    <xf numFmtId="164" fontId="4" fillId="0" borderId="0" xfId="0" applyNumberFormat="1" applyFont="1"/>
    <xf numFmtId="164" fontId="4" fillId="0" borderId="39" xfId="0" applyNumberFormat="1" applyFont="1" applyBorder="1"/>
    <xf numFmtId="2" fontId="10" fillId="3" borderId="25" xfId="0" applyNumberFormat="1" applyFont="1" applyFill="1" applyBorder="1"/>
    <xf numFmtId="0" fontId="3" fillId="3" borderId="5" xfId="0" applyFont="1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3" fillId="3" borderId="9" xfId="0" applyFont="1" applyFill="1" applyBorder="1"/>
    <xf numFmtId="164" fontId="5" fillId="2" borderId="40" xfId="0" applyNumberFormat="1" applyFont="1" applyFill="1" applyBorder="1" applyAlignment="1">
      <alignment horizontal="center"/>
    </xf>
    <xf numFmtId="0" fontId="11" fillId="0" borderId="0" xfId="0" applyFont="1"/>
    <xf numFmtId="0" fontId="5" fillId="0" borderId="0" xfId="0" applyFont="1"/>
    <xf numFmtId="0" fontId="4" fillId="0" borderId="0" xfId="0" applyFont="1"/>
    <xf numFmtId="4" fontId="2" fillId="2" borderId="41" xfId="0" applyNumberFormat="1" applyFont="1" applyFill="1" applyBorder="1"/>
    <xf numFmtId="4" fontId="2" fillId="2" borderId="42" xfId="0" applyNumberFormat="1" applyFont="1" applyFill="1" applyBorder="1" applyAlignment="1">
      <alignment horizontal="center"/>
    </xf>
    <xf numFmtId="4" fontId="2" fillId="2" borderId="43" xfId="0" applyNumberFormat="1" applyFont="1" applyFill="1" applyBorder="1" applyAlignment="1">
      <alignment horizontal="center"/>
    </xf>
    <xf numFmtId="4" fontId="2" fillId="0" borderId="0" xfId="0" applyNumberFormat="1" applyFont="1"/>
    <xf numFmtId="4" fontId="2" fillId="2" borderId="44" xfId="0" applyNumberFormat="1" applyFont="1" applyFill="1" applyBorder="1"/>
    <xf numFmtId="4" fontId="2" fillId="2" borderId="4" xfId="0" applyNumberFormat="1" applyFont="1" applyFill="1" applyBorder="1"/>
    <xf numFmtId="4" fontId="2" fillId="2" borderId="4" xfId="0" quotePrefix="1" applyNumberFormat="1" applyFont="1" applyFill="1" applyBorder="1"/>
    <xf numFmtId="17" fontId="2" fillId="2" borderId="45" xfId="0" applyNumberFormat="1" applyFont="1" applyFill="1" applyBorder="1" applyAlignment="1">
      <alignment horizontal="center"/>
    </xf>
    <xf numFmtId="4" fontId="0" fillId="0" borderId="46" xfId="0" applyNumberFormat="1" applyBorder="1"/>
    <xf numFmtId="4" fontId="0" fillId="0" borderId="33" xfId="0" applyNumberFormat="1" applyBorder="1"/>
    <xf numFmtId="4" fontId="4" fillId="0" borderId="10" xfId="0" applyNumberFormat="1" applyFont="1" applyBorder="1"/>
    <xf numFmtId="4" fontId="0" fillId="0" borderId="0" xfId="0" applyNumberFormat="1"/>
    <xf numFmtId="4" fontId="0" fillId="0" borderId="47" xfId="0" applyNumberFormat="1" applyBorder="1"/>
    <xf numFmtId="4" fontId="2" fillId="2" borderId="48" xfId="0" applyNumberFormat="1" applyFont="1" applyFill="1" applyBorder="1"/>
    <xf numFmtId="4" fontId="2" fillId="2" borderId="47" xfId="0" applyNumberFormat="1" applyFont="1" applyFill="1" applyBorder="1"/>
    <xf numFmtId="4" fontId="2" fillId="2" borderId="49" xfId="0" applyNumberFormat="1" applyFont="1" applyFill="1" applyBorder="1"/>
    <xf numFmtId="4" fontId="4" fillId="0" borderId="0" xfId="0" applyNumberFormat="1" applyFont="1"/>
    <xf numFmtId="0" fontId="0" fillId="0" borderId="10" xfId="0" applyBorder="1"/>
    <xf numFmtId="4" fontId="2" fillId="2" borderId="50" xfId="0" applyNumberFormat="1" applyFont="1" applyFill="1" applyBorder="1"/>
    <xf numFmtId="4" fontId="2" fillId="2" borderId="51" xfId="0" applyNumberFormat="1" applyFont="1" applyFill="1" applyBorder="1"/>
    <xf numFmtId="4" fontId="2" fillId="2" borderId="52" xfId="0" applyNumberFormat="1" applyFont="1" applyFill="1" applyBorder="1"/>
    <xf numFmtId="1" fontId="9" fillId="0" borderId="0" xfId="0" applyNumberFormat="1" applyFont="1"/>
    <xf numFmtId="1" fontId="0" fillId="0" borderId="5" xfId="0" applyNumberFormat="1" applyBorder="1" applyProtection="1">
      <protection locked="0"/>
    </xf>
    <xf numFmtId="4" fontId="5" fillId="0" borderId="0" xfId="0" applyNumberFormat="1" applyFont="1"/>
    <xf numFmtId="4" fontId="2" fillId="2" borderId="6" xfId="0" applyNumberFormat="1" applyFont="1" applyFill="1" applyBorder="1"/>
    <xf numFmtId="4" fontId="2" fillId="2" borderId="53" xfId="0" applyNumberFormat="1" applyFont="1" applyFill="1" applyBorder="1" applyAlignment="1">
      <alignment horizontal="center"/>
    </xf>
    <xf numFmtId="4" fontId="2" fillId="2" borderId="54" xfId="0" applyNumberFormat="1" applyFont="1" applyFill="1" applyBorder="1"/>
    <xf numFmtId="4" fontId="2" fillId="2" borderId="35" xfId="0" applyNumberFormat="1" applyFont="1" applyFill="1" applyBorder="1"/>
    <xf numFmtId="4" fontId="0" fillId="0" borderId="48" xfId="0" applyNumberFormat="1" applyBorder="1"/>
    <xf numFmtId="1" fontId="0" fillId="0" borderId="33" xfId="0" applyNumberFormat="1" applyBorder="1"/>
    <xf numFmtId="1" fontId="2" fillId="2" borderId="47" xfId="0" applyNumberFormat="1" applyFont="1" applyFill="1" applyBorder="1"/>
    <xf numFmtId="1" fontId="2" fillId="2" borderId="51" xfId="0" applyNumberFormat="1" applyFont="1" applyFill="1" applyBorder="1"/>
    <xf numFmtId="1" fontId="0" fillId="8" borderId="5" xfId="0" applyNumberFormat="1" applyFill="1" applyBorder="1"/>
    <xf numFmtId="164" fontId="5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164" fontId="4" fillId="0" borderId="39" xfId="0" applyNumberFormat="1" applyFont="1" applyBorder="1" applyAlignment="1">
      <alignment horizontal="center"/>
    </xf>
    <xf numFmtId="0" fontId="9" fillId="6" borderId="9" xfId="0" applyFont="1" applyFill="1" applyBorder="1"/>
    <xf numFmtId="1" fontId="0" fillId="0" borderId="25" xfId="0" applyNumberFormat="1" applyBorder="1"/>
    <xf numFmtId="1" fontId="2" fillId="0" borderId="26" xfId="0" applyNumberFormat="1" applyFont="1" applyBorder="1"/>
    <xf numFmtId="1" fontId="0" fillId="0" borderId="34" xfId="0" applyNumberFormat="1" applyBorder="1"/>
    <xf numFmtId="1" fontId="2" fillId="2" borderId="49" xfId="0" applyNumberFormat="1" applyFont="1" applyFill="1" applyBorder="1"/>
    <xf numFmtId="1" fontId="0" fillId="0" borderId="10" xfId="0" applyNumberFormat="1" applyBorder="1"/>
    <xf numFmtId="1" fontId="2" fillId="2" borderId="52" xfId="0" applyNumberFormat="1" applyFont="1" applyFill="1" applyBorder="1"/>
    <xf numFmtId="1" fontId="2" fillId="2" borderId="53" xfId="0" applyNumberFormat="1" applyFont="1" applyFill="1" applyBorder="1" applyAlignment="1">
      <alignment horizontal="center"/>
    </xf>
    <xf numFmtId="1" fontId="2" fillId="2" borderId="42" xfId="0" applyNumberFormat="1" applyFont="1" applyFill="1" applyBorder="1" applyAlignment="1">
      <alignment horizontal="center"/>
    </xf>
    <xf numFmtId="1" fontId="2" fillId="2" borderId="43" xfId="0" applyNumberFormat="1" applyFont="1" applyFill="1" applyBorder="1" applyAlignment="1">
      <alignment horizontal="center"/>
    </xf>
    <xf numFmtId="1" fontId="2" fillId="2" borderId="35" xfId="0" applyNumberFormat="1" applyFont="1" applyFill="1" applyBorder="1"/>
    <xf numFmtId="1" fontId="2" fillId="2" borderId="45" xfId="0" applyNumberFormat="1" applyFont="1" applyFill="1" applyBorder="1" applyAlignment="1">
      <alignment horizontal="center"/>
    </xf>
    <xf numFmtId="4" fontId="0" fillId="0" borderId="55" xfId="0" applyNumberFormat="1" applyBorder="1"/>
    <xf numFmtId="0" fontId="2" fillId="4" borderId="10" xfId="0" applyFont="1" applyFill="1" applyBorder="1"/>
    <xf numFmtId="17" fontId="2" fillId="2" borderId="56" xfId="0" applyNumberFormat="1" applyFont="1" applyFill="1" applyBorder="1" applyAlignment="1">
      <alignment horizontal="center"/>
    </xf>
    <xf numFmtId="0" fontId="0" fillId="0" borderId="11" xfId="0" applyBorder="1"/>
    <xf numFmtId="0" fontId="0" fillId="3" borderId="11" xfId="0" applyFill="1" applyBorder="1"/>
    <xf numFmtId="0" fontId="3" fillId="3" borderId="11" xfId="0" applyFont="1" applyFill="1" applyBorder="1" applyProtection="1">
      <protection locked="0"/>
    </xf>
    <xf numFmtId="1" fontId="0" fillId="3" borderId="11" xfId="0" applyNumberFormat="1" applyFill="1" applyBorder="1"/>
    <xf numFmtId="0" fontId="0" fillId="3" borderId="45" xfId="0" applyFill="1" applyBorder="1" applyProtection="1">
      <protection locked="0"/>
    </xf>
    <xf numFmtId="2" fontId="10" fillId="3" borderId="57" xfId="0" applyNumberFormat="1" applyFont="1" applyFill="1" applyBorder="1"/>
    <xf numFmtId="1" fontId="0" fillId="0" borderId="55" xfId="0" applyNumberFormat="1" applyBorder="1"/>
    <xf numFmtId="1" fontId="2" fillId="3" borderId="38" xfId="0" applyNumberFormat="1" applyFont="1" applyFill="1" applyBorder="1"/>
    <xf numFmtId="0" fontId="9" fillId="0" borderId="29" xfId="0" applyFont="1" applyBorder="1"/>
    <xf numFmtId="1" fontId="2" fillId="0" borderId="30" xfId="0" applyNumberFormat="1" applyFont="1" applyBorder="1"/>
    <xf numFmtId="0" fontId="0" fillId="0" borderId="3" xfId="0" applyBorder="1"/>
    <xf numFmtId="0" fontId="0" fillId="0" borderId="58" xfId="0" applyBorder="1"/>
    <xf numFmtId="0" fontId="2" fillId="0" borderId="35" xfId="0" applyFont="1" applyBorder="1"/>
    <xf numFmtId="4" fontId="12" fillId="0" borderId="48" xfId="0" applyNumberFormat="1" applyFont="1" applyBorder="1"/>
    <xf numFmtId="4" fontId="0" fillId="0" borderId="59" xfId="0" applyNumberFormat="1" applyBorder="1"/>
    <xf numFmtId="4" fontId="0" fillId="0" borderId="7" xfId="0" applyNumberFormat="1" applyBorder="1"/>
    <xf numFmtId="4" fontId="0" fillId="0" borderId="56" xfId="0" applyNumberFormat="1" applyBorder="1"/>
    <xf numFmtId="1" fontId="2" fillId="4" borderId="10" xfId="0" applyNumberFormat="1" applyFont="1" applyFill="1" applyBorder="1"/>
    <xf numFmtId="9" fontId="7" fillId="0" borderId="7" xfId="1" applyFont="1" applyBorder="1"/>
    <xf numFmtId="9" fontId="7" fillId="0" borderId="56" xfId="1" applyFont="1" applyBorder="1"/>
    <xf numFmtId="0" fontId="4" fillId="0" borderId="9" xfId="0" applyFont="1" applyBorder="1"/>
    <xf numFmtId="9" fontId="4" fillId="0" borderId="0" xfId="1" applyFont="1" applyFill="1" applyBorder="1"/>
    <xf numFmtId="9" fontId="4" fillId="0" borderId="0" xfId="1" applyFont="1" applyFill="1" applyBorder="1" applyAlignment="1">
      <alignment horizontal="center"/>
    </xf>
    <xf numFmtId="9" fontId="4" fillId="0" borderId="0" xfId="1" applyFont="1" applyBorder="1"/>
    <xf numFmtId="9" fontId="4" fillId="0" borderId="0" xfId="1" applyFont="1" applyBorder="1" applyAlignment="1">
      <alignment horizontal="center"/>
    </xf>
    <xf numFmtId="17" fontId="2" fillId="9" borderId="7" xfId="0" applyNumberFormat="1" applyFont="1" applyFill="1" applyBorder="1" applyAlignment="1">
      <alignment horizontal="center"/>
    </xf>
    <xf numFmtId="0" fontId="0" fillId="9" borderId="5" xfId="0" applyFill="1" applyBorder="1"/>
    <xf numFmtId="0" fontId="0" fillId="9" borderId="5" xfId="0" applyFill="1" applyBorder="1" applyProtection="1">
      <protection locked="0"/>
    </xf>
    <xf numFmtId="0" fontId="2" fillId="9" borderId="13" xfId="0" applyFont="1" applyFill="1" applyBorder="1"/>
    <xf numFmtId="0" fontId="3" fillId="9" borderId="5" xfId="0" applyFont="1" applyFill="1" applyBorder="1" applyProtection="1">
      <protection locked="0"/>
    </xf>
    <xf numFmtId="165" fontId="5" fillId="9" borderId="5" xfId="1" applyNumberFormat="1" applyFont="1" applyFill="1" applyBorder="1"/>
    <xf numFmtId="0" fontId="2" fillId="9" borderId="16" xfId="0" applyFont="1" applyFill="1" applyBorder="1"/>
    <xf numFmtId="0" fontId="2" fillId="9" borderId="19" xfId="0" applyFont="1" applyFill="1" applyBorder="1"/>
    <xf numFmtId="165" fontId="5" fillId="9" borderId="22" xfId="0" applyNumberFormat="1" applyFont="1" applyFill="1" applyBorder="1"/>
    <xf numFmtId="0" fontId="2" fillId="9" borderId="5" xfId="0" applyFont="1" applyFill="1" applyBorder="1"/>
    <xf numFmtId="165" fontId="13" fillId="9" borderId="5" xfId="1" applyNumberFormat="1" applyFont="1" applyFill="1" applyBorder="1"/>
    <xf numFmtId="1" fontId="2" fillId="9" borderId="13" xfId="0" applyNumberFormat="1" applyFont="1" applyFill="1" applyBorder="1"/>
    <xf numFmtId="1" fontId="0" fillId="9" borderId="25" xfId="0" applyNumberFormat="1" applyFill="1" applyBorder="1"/>
    <xf numFmtId="0" fontId="2" fillId="9" borderId="12" xfId="0" applyFont="1" applyFill="1" applyBorder="1"/>
    <xf numFmtId="164" fontId="5" fillId="9" borderId="60" xfId="0" applyNumberFormat="1" applyFont="1" applyFill="1" applyBorder="1"/>
    <xf numFmtId="164" fontId="5" fillId="9" borderId="60" xfId="0" applyNumberFormat="1" applyFont="1" applyFill="1" applyBorder="1" applyAlignment="1">
      <alignment horizontal="center"/>
    </xf>
    <xf numFmtId="0" fontId="2" fillId="9" borderId="14" xfId="0" applyFont="1" applyFill="1" applyBorder="1"/>
    <xf numFmtId="0" fontId="2" fillId="9" borderId="18" xfId="0" applyFont="1" applyFill="1" applyBorder="1"/>
    <xf numFmtId="164" fontId="5" fillId="9" borderId="61" xfId="0" applyNumberFormat="1" applyFont="1" applyFill="1" applyBorder="1" applyAlignment="1">
      <alignment horizontal="center"/>
    </xf>
    <xf numFmtId="0" fontId="2" fillId="9" borderId="20" xfId="0" applyFont="1" applyFill="1" applyBorder="1"/>
    <xf numFmtId="0" fontId="2" fillId="9" borderId="21" xfId="0" applyFont="1" applyFill="1" applyBorder="1"/>
    <xf numFmtId="164" fontId="5" fillId="9" borderId="62" xfId="0" applyNumberFormat="1" applyFont="1" applyFill="1" applyBorder="1"/>
    <xf numFmtId="164" fontId="5" fillId="9" borderId="62" xfId="0" applyNumberFormat="1" applyFont="1" applyFill="1" applyBorder="1" applyAlignment="1">
      <alignment horizontal="center"/>
    </xf>
    <xf numFmtId="165" fontId="5" fillId="9" borderId="23" xfId="0" applyNumberFormat="1" applyFont="1" applyFill="1" applyBorder="1"/>
    <xf numFmtId="0" fontId="2" fillId="9" borderId="11" xfId="0" applyFont="1" applyFill="1" applyBorder="1"/>
    <xf numFmtId="0" fontId="5" fillId="9" borderId="21" xfId="0" applyFont="1" applyFill="1" applyBorder="1"/>
    <xf numFmtId="9" fontId="5" fillId="9" borderId="60" xfId="1" applyFont="1" applyFill="1" applyBorder="1"/>
    <xf numFmtId="9" fontId="5" fillId="9" borderId="60" xfId="1" applyFont="1" applyFill="1" applyBorder="1" applyAlignment="1">
      <alignment horizontal="center"/>
    </xf>
    <xf numFmtId="9" fontId="5" fillId="9" borderId="62" xfId="1" applyFont="1" applyFill="1" applyBorder="1"/>
    <xf numFmtId="9" fontId="5" fillId="9" borderId="62" xfId="1" applyFont="1" applyFill="1" applyBorder="1" applyAlignment="1">
      <alignment horizontal="center"/>
    </xf>
    <xf numFmtId="0" fontId="0" fillId="9" borderId="9" xfId="0" applyFill="1" applyBorder="1"/>
    <xf numFmtId="9" fontId="4" fillId="9" borderId="0" xfId="1" applyFont="1" applyFill="1" applyBorder="1"/>
    <xf numFmtId="9" fontId="4" fillId="9" borderId="0" xfId="1" applyFont="1" applyFill="1" applyBorder="1" applyAlignment="1">
      <alignment horizontal="center"/>
    </xf>
    <xf numFmtId="1" fontId="2" fillId="9" borderId="14" xfId="0" applyNumberFormat="1" applyFont="1" applyFill="1" applyBorder="1"/>
    <xf numFmtId="0" fontId="2" fillId="9" borderId="0" xfId="0" applyFont="1" applyFill="1"/>
    <xf numFmtId="164" fontId="5" fillId="9" borderId="0" xfId="0" applyNumberFormat="1" applyFont="1" applyFill="1"/>
    <xf numFmtId="164" fontId="5" fillId="9" borderId="0" xfId="0" applyNumberFormat="1" applyFont="1" applyFill="1" applyAlignment="1">
      <alignment horizontal="center"/>
    </xf>
    <xf numFmtId="0" fontId="0" fillId="9" borderId="0" xfId="0" applyFill="1"/>
    <xf numFmtId="0" fontId="9" fillId="9" borderId="0" xfId="0" applyFont="1" applyFill="1"/>
    <xf numFmtId="4" fontId="3" fillId="0" borderId="33" xfId="0" applyNumberFormat="1" applyFont="1" applyBorder="1"/>
    <xf numFmtId="9" fontId="4" fillId="10" borderId="0" xfId="1" applyFont="1" applyFill="1" applyBorder="1"/>
    <xf numFmtId="9" fontId="4" fillId="10" borderId="0" xfId="1" applyFont="1" applyFill="1" applyBorder="1" applyAlignment="1">
      <alignment horizontal="center"/>
    </xf>
    <xf numFmtId="0" fontId="2" fillId="10" borderId="11" xfId="0" applyFont="1" applyFill="1" applyBorder="1"/>
    <xf numFmtId="2" fontId="0" fillId="9" borderId="5" xfId="0" applyNumberFormat="1" applyFill="1" applyBorder="1"/>
    <xf numFmtId="2" fontId="0" fillId="0" borderId="5" xfId="0" applyNumberFormat="1" applyBorder="1"/>
    <xf numFmtId="2" fontId="0" fillId="10" borderId="5" xfId="0" applyNumberFormat="1" applyFill="1" applyBorder="1"/>
    <xf numFmtId="2" fontId="0" fillId="10" borderId="5" xfId="0" applyNumberFormat="1" applyFill="1" applyBorder="1" applyProtection="1">
      <protection locked="0"/>
    </xf>
    <xf numFmtId="2" fontId="0" fillId="9" borderId="5" xfId="0" applyNumberFormat="1" applyFill="1" applyBorder="1" applyProtection="1">
      <protection locked="0"/>
    </xf>
    <xf numFmtId="2" fontId="0" fillId="0" borderId="5" xfId="0" applyNumberFormat="1" applyBorder="1" applyProtection="1">
      <protection locked="0"/>
    </xf>
    <xf numFmtId="2" fontId="3" fillId="9" borderId="5" xfId="0" applyNumberFormat="1" applyFont="1" applyFill="1" applyBorder="1" applyProtection="1">
      <protection locked="0"/>
    </xf>
    <xf numFmtId="2" fontId="3" fillId="0" borderId="5" xfId="0" applyNumberFormat="1" applyFont="1" applyBorder="1" applyProtection="1">
      <protection locked="0"/>
    </xf>
    <xf numFmtId="2" fontId="2" fillId="9" borderId="5" xfId="0" applyNumberFormat="1" applyFont="1" applyFill="1" applyBorder="1"/>
    <xf numFmtId="2" fontId="2" fillId="9" borderId="2" xfId="0" applyNumberFormat="1" applyFont="1" applyFill="1" applyBorder="1"/>
    <xf numFmtId="164" fontId="5" fillId="2" borderId="63" xfId="0" applyNumberFormat="1" applyFont="1" applyFill="1" applyBorder="1" applyAlignment="1">
      <alignment horizontal="center"/>
    </xf>
    <xf numFmtId="164" fontId="4" fillId="0" borderId="1" xfId="0" applyNumberFormat="1" applyFont="1" applyBorder="1"/>
    <xf numFmtId="9" fontId="4" fillId="0" borderId="1" xfId="1" applyFont="1" applyFill="1" applyBorder="1"/>
    <xf numFmtId="164" fontId="5" fillId="9" borderId="64" xfId="0" applyNumberFormat="1" applyFont="1" applyFill="1" applyBorder="1"/>
    <xf numFmtId="164" fontId="5" fillId="9" borderId="65" xfId="0" applyNumberFormat="1" applyFont="1" applyFill="1" applyBorder="1"/>
    <xf numFmtId="164" fontId="5" fillId="9" borderId="66" xfId="0" applyNumberFormat="1" applyFont="1" applyFill="1" applyBorder="1"/>
    <xf numFmtId="0" fontId="2" fillId="2" borderId="61" xfId="0" applyFont="1" applyFill="1" applyBorder="1" applyAlignment="1">
      <alignment horizontal="left"/>
    </xf>
    <xf numFmtId="0" fontId="0" fillId="2" borderId="0" xfId="0" applyFill="1" applyAlignment="1">
      <alignment horizontal="center"/>
    </xf>
    <xf numFmtId="0" fontId="9" fillId="3" borderId="0" xfId="0" applyFont="1" applyFill="1" applyAlignment="1">
      <alignment horizontal="left"/>
    </xf>
    <xf numFmtId="0" fontId="0" fillId="3" borderId="0" xfId="0" applyFill="1"/>
    <xf numFmtId="0" fontId="9" fillId="3" borderId="60" xfId="0" applyFont="1" applyFill="1" applyBorder="1"/>
    <xf numFmtId="0" fontId="2" fillId="2" borderId="65" xfId="0" applyFont="1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9" fillId="3" borderId="1" xfId="0" applyFont="1" applyFill="1" applyBorder="1" applyAlignment="1">
      <alignment horizontal="left"/>
    </xf>
    <xf numFmtId="0" fontId="0" fillId="3" borderId="1" xfId="0" applyFill="1" applyBorder="1"/>
    <xf numFmtId="0" fontId="9" fillId="3" borderId="64" xfId="0" applyFont="1" applyFill="1" applyBorder="1"/>
    <xf numFmtId="0" fontId="3" fillId="3" borderId="29" xfId="0" applyFont="1" applyFill="1" applyBorder="1"/>
    <xf numFmtId="17" fontId="2" fillId="2" borderId="67" xfId="0" applyNumberFormat="1" applyFont="1" applyFill="1" applyBorder="1" applyAlignment="1">
      <alignment horizontal="center"/>
    </xf>
    <xf numFmtId="17" fontId="2" fillId="2" borderId="2" xfId="0" applyNumberFormat="1" applyFont="1" applyFill="1" applyBorder="1" applyAlignment="1">
      <alignment horizontal="center"/>
    </xf>
    <xf numFmtId="1" fontId="2" fillId="3" borderId="68" xfId="0" applyNumberFormat="1" applyFont="1" applyFill="1" applyBorder="1"/>
    <xf numFmtId="0" fontId="2" fillId="3" borderId="68" xfId="0" applyFont="1" applyFill="1" applyBorder="1"/>
    <xf numFmtId="0" fontId="2" fillId="2" borderId="19" xfId="0" applyFont="1" applyFill="1" applyBorder="1" applyAlignment="1">
      <alignment horizontal="left"/>
    </xf>
    <xf numFmtId="0" fontId="0" fillId="2" borderId="5" xfId="0" applyFill="1" applyBorder="1" applyAlignment="1">
      <alignment horizontal="center"/>
    </xf>
    <xf numFmtId="0" fontId="9" fillId="3" borderId="5" xfId="0" applyFont="1" applyFill="1" applyBorder="1" applyAlignment="1">
      <alignment horizontal="left"/>
    </xf>
    <xf numFmtId="0" fontId="9" fillId="3" borderId="13" xfId="0" applyFont="1" applyFill="1" applyBorder="1"/>
    <xf numFmtId="0" fontId="3" fillId="3" borderId="5" xfId="0" applyFont="1" applyFill="1" applyBorder="1"/>
    <xf numFmtId="0" fontId="3" fillId="6" borderId="9" xfId="0" applyFont="1" applyFill="1" applyBorder="1"/>
    <xf numFmtId="2" fontId="14" fillId="3" borderId="24" xfId="0" applyNumberFormat="1" applyFont="1" applyFill="1" applyBorder="1"/>
    <xf numFmtId="4" fontId="3" fillId="0" borderId="46" xfId="0" applyNumberFormat="1" applyFont="1" applyBorder="1"/>
    <xf numFmtId="1" fontId="0" fillId="3" borderId="5" xfId="0" quotePrefix="1" applyNumberFormat="1" applyFill="1" applyBorder="1"/>
    <xf numFmtId="165" fontId="5" fillId="9" borderId="11" xfId="1" applyNumberFormat="1" applyFont="1" applyFill="1" applyBorder="1"/>
    <xf numFmtId="0" fontId="2" fillId="9" borderId="17" xfId="0" applyFont="1" applyFill="1" applyBorder="1"/>
    <xf numFmtId="4" fontId="3" fillId="0" borderId="9" xfId="0" applyNumberFormat="1" applyFont="1" applyBorder="1"/>
    <xf numFmtId="4" fontId="3" fillId="10" borderId="69" xfId="0" applyNumberFormat="1" applyFont="1" applyFill="1" applyBorder="1"/>
    <xf numFmtId="4" fontId="3" fillId="0" borderId="69" xfId="0" applyNumberFormat="1" applyFont="1" applyBorder="1"/>
    <xf numFmtId="2" fontId="2" fillId="9" borderId="9" xfId="0" applyNumberFormat="1" applyFont="1" applyFill="1" applyBorder="1"/>
    <xf numFmtId="2" fontId="2" fillId="9" borderId="0" xfId="0" applyNumberFormat="1" applyFont="1" applyFill="1"/>
    <xf numFmtId="0" fontId="2" fillId="2" borderId="31" xfId="0" applyFont="1" applyFill="1" applyBorder="1"/>
    <xf numFmtId="0" fontId="2" fillId="2" borderId="65" xfId="0" applyFont="1" applyFill="1" applyBorder="1"/>
    <xf numFmtId="0" fontId="2" fillId="2" borderId="70" xfId="0" applyFont="1" applyFill="1" applyBorder="1"/>
    <xf numFmtId="0" fontId="2" fillId="2" borderId="71" xfId="0" applyFont="1" applyFill="1" applyBorder="1" applyAlignment="1">
      <alignment horizontal="center"/>
    </xf>
    <xf numFmtId="0" fontId="2" fillId="3" borderId="72" xfId="0" applyFont="1" applyFill="1" applyBorder="1"/>
    <xf numFmtId="0" fontId="2" fillId="0" borderId="29" xfId="0" applyFont="1" applyBorder="1"/>
    <xf numFmtId="0" fontId="2" fillId="3" borderId="73" xfId="0" applyFont="1" applyFill="1" applyBorder="1"/>
    <xf numFmtId="0" fontId="2" fillId="3" borderId="66" xfId="0" applyFont="1" applyFill="1" applyBorder="1"/>
    <xf numFmtId="0" fontId="0" fillId="3" borderId="22" xfId="0" applyFill="1" applyBorder="1"/>
    <xf numFmtId="0" fontId="0" fillId="3" borderId="74" xfId="0" applyFill="1" applyBorder="1"/>
    <xf numFmtId="0" fontId="2" fillId="3" borderId="74" xfId="0" applyFont="1" applyFill="1" applyBorder="1"/>
    <xf numFmtId="14" fontId="0" fillId="0" borderId="0" xfId="0" applyNumberFormat="1"/>
    <xf numFmtId="0" fontId="2" fillId="0" borderId="39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5988B-B12F-4AD6-9B4E-A1367EC81076}">
  <dimension ref="B3:C5"/>
  <sheetViews>
    <sheetView workbookViewId="0">
      <selection activeCell="C4" sqref="C4"/>
    </sheetView>
  </sheetViews>
  <sheetFormatPr defaultRowHeight="12.75" x14ac:dyDescent="0.2"/>
  <cols>
    <col min="2" max="2" width="23.42578125" customWidth="1"/>
    <col min="3" max="3" width="10.140625" bestFit="1" customWidth="1"/>
  </cols>
  <sheetData>
    <row r="3" spans="2:3" x14ac:dyDescent="0.2">
      <c r="B3" t="s">
        <v>239</v>
      </c>
      <c r="C3" t="s">
        <v>241</v>
      </c>
    </row>
    <row r="5" spans="2:3" x14ac:dyDescent="0.2">
      <c r="B5" t="s">
        <v>240</v>
      </c>
      <c r="C5" s="310">
        <v>45292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71"/>
  <sheetViews>
    <sheetView showGridLines="0" tabSelected="1" view="pageBreakPreview" topLeftCell="A49" zoomScaleNormal="100" zoomScaleSheetLayoutView="100" workbookViewId="0">
      <selection activeCell="C61" sqref="C61"/>
    </sheetView>
  </sheetViews>
  <sheetFormatPr defaultRowHeight="12.75" x14ac:dyDescent="0.2"/>
  <cols>
    <col min="1" max="1" width="24" customWidth="1"/>
    <col min="2" max="2" width="5.140625" customWidth="1"/>
    <col min="3" max="14" width="11.140625" bestFit="1" customWidth="1"/>
    <col min="15" max="15" width="13.42578125" style="1" bestFit="1" customWidth="1"/>
  </cols>
  <sheetData>
    <row r="1" spans="1:15" s="3" customFormat="1" ht="24" customHeight="1" x14ac:dyDescent="0.25">
      <c r="A1" s="3" t="str">
        <f>CONCATENATE(Cover!C3," ","Control Accounts")</f>
        <v>Novelty PCs Ltd Control Accounts</v>
      </c>
      <c r="H1" s="156"/>
      <c r="I1" s="131"/>
      <c r="J1" s="156"/>
    </row>
    <row r="2" spans="1:15" ht="13.5" thickBot="1" x14ac:dyDescent="0.25"/>
    <row r="3" spans="1:15" x14ac:dyDescent="0.2">
      <c r="A3" s="299" t="s">
        <v>5</v>
      </c>
      <c r="B3" s="300"/>
      <c r="C3" s="55">
        <f>+'P&amp;L Detl'!F3</f>
        <v>45307</v>
      </c>
      <c r="D3" s="55">
        <f>+'P&amp;L Detl'!G3</f>
        <v>45337</v>
      </c>
      <c r="E3" s="55">
        <f>+'P&amp;L Detl'!H3</f>
        <v>45367</v>
      </c>
      <c r="F3" s="55">
        <f>+'P&amp;L Detl'!I3</f>
        <v>45397</v>
      </c>
      <c r="G3" s="55">
        <f>+'P&amp;L Detl'!J3</f>
        <v>45427</v>
      </c>
      <c r="H3" s="55">
        <f>+'P&amp;L Detl'!K3</f>
        <v>45457</v>
      </c>
      <c r="I3" s="55">
        <f>+'P&amp;L Detl'!L3</f>
        <v>45487</v>
      </c>
      <c r="J3" s="55">
        <f>+'P&amp;L Detl'!M3</f>
        <v>45517</v>
      </c>
      <c r="K3" s="55">
        <f>+'P&amp;L Detl'!N3</f>
        <v>45547</v>
      </c>
      <c r="L3" s="55">
        <f>+'P&amp;L Detl'!O3</f>
        <v>45577</v>
      </c>
      <c r="M3" s="55">
        <f>+'P&amp;L Detl'!P3</f>
        <v>45607</v>
      </c>
      <c r="N3" s="55">
        <f>+'P&amp;L Detl'!Q3</f>
        <v>45637</v>
      </c>
      <c r="O3" s="56" t="s">
        <v>3</v>
      </c>
    </row>
    <row r="4" spans="1:15" x14ac:dyDescent="0.2">
      <c r="A4" s="301"/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302"/>
    </row>
    <row r="5" spans="1:15" x14ac:dyDescent="0.2">
      <c r="A5" s="110" t="s">
        <v>10</v>
      </c>
      <c r="B5" s="115"/>
      <c r="C5" s="114">
        <f>'BS Detl'!B9</f>
        <v>484</v>
      </c>
      <c r="D5" s="114">
        <f t="shared" ref="D5:N5" si="0">+C7</f>
        <v>494</v>
      </c>
      <c r="E5" s="114">
        <f t="shared" si="0"/>
        <v>494</v>
      </c>
      <c r="F5" s="114">
        <f t="shared" si="0"/>
        <v>494</v>
      </c>
      <c r="G5" s="114">
        <f t="shared" si="0"/>
        <v>504</v>
      </c>
      <c r="H5" s="114">
        <f t="shared" si="0"/>
        <v>504</v>
      </c>
      <c r="I5" s="114">
        <f t="shared" si="0"/>
        <v>504</v>
      </c>
      <c r="J5" s="114">
        <f t="shared" si="0"/>
        <v>514</v>
      </c>
      <c r="K5" s="114">
        <f t="shared" si="0"/>
        <v>514</v>
      </c>
      <c r="L5" s="114">
        <f t="shared" si="0"/>
        <v>514</v>
      </c>
      <c r="M5" s="114">
        <f t="shared" si="0"/>
        <v>524</v>
      </c>
      <c r="N5" s="114">
        <f t="shared" si="0"/>
        <v>524</v>
      </c>
      <c r="O5" s="303">
        <f>+C5</f>
        <v>484</v>
      </c>
    </row>
    <row r="6" spans="1:15" x14ac:dyDescent="0.2">
      <c r="A6" s="304" t="s">
        <v>161</v>
      </c>
      <c r="B6" s="5"/>
      <c r="C6" s="14">
        <v>10</v>
      </c>
      <c r="D6" s="14"/>
      <c r="E6" s="14"/>
      <c r="F6" s="14">
        <v>10</v>
      </c>
      <c r="G6" s="14"/>
      <c r="H6" s="14"/>
      <c r="I6" s="14">
        <v>10</v>
      </c>
      <c r="J6" s="14"/>
      <c r="K6" s="14"/>
      <c r="L6" s="14">
        <v>10</v>
      </c>
      <c r="M6" s="14"/>
      <c r="N6" s="14"/>
      <c r="O6" s="105">
        <f>SUM(C6:N6)</f>
        <v>40</v>
      </c>
    </row>
    <row r="7" spans="1:15" ht="13.5" thickBot="1" x14ac:dyDescent="0.25">
      <c r="A7" s="305" t="s">
        <v>12</v>
      </c>
      <c r="B7" s="306"/>
      <c r="C7" s="307">
        <f>+C5+C6</f>
        <v>494</v>
      </c>
      <c r="D7" s="307">
        <f t="shared" ref="D7:O7" si="1">+D5+D6</f>
        <v>494</v>
      </c>
      <c r="E7" s="307">
        <f t="shared" si="1"/>
        <v>494</v>
      </c>
      <c r="F7" s="307">
        <f t="shared" si="1"/>
        <v>504</v>
      </c>
      <c r="G7" s="307">
        <f t="shared" si="1"/>
        <v>504</v>
      </c>
      <c r="H7" s="307">
        <f t="shared" si="1"/>
        <v>504</v>
      </c>
      <c r="I7" s="307">
        <f t="shared" si="1"/>
        <v>514</v>
      </c>
      <c r="J7" s="307">
        <f t="shared" si="1"/>
        <v>514</v>
      </c>
      <c r="K7" s="307">
        <f t="shared" si="1"/>
        <v>514</v>
      </c>
      <c r="L7" s="307">
        <f t="shared" si="1"/>
        <v>524</v>
      </c>
      <c r="M7" s="307">
        <f t="shared" si="1"/>
        <v>524</v>
      </c>
      <c r="N7" s="307">
        <f t="shared" si="1"/>
        <v>524</v>
      </c>
      <c r="O7" s="308">
        <f t="shared" si="1"/>
        <v>524</v>
      </c>
    </row>
    <row r="8" spans="1:15" ht="13.5" thickBot="1" x14ac:dyDescent="0.25"/>
    <row r="9" spans="1:15" x14ac:dyDescent="0.2">
      <c r="A9" s="59" t="s">
        <v>79</v>
      </c>
      <c r="B9" s="273"/>
      <c r="C9" s="55">
        <f>+'P&amp;L Detl'!F3</f>
        <v>45307</v>
      </c>
      <c r="D9" s="55">
        <f>+'P&amp;L Detl'!G3</f>
        <v>45337</v>
      </c>
      <c r="E9" s="55">
        <f>+'P&amp;L Detl'!H3</f>
        <v>45367</v>
      </c>
      <c r="F9" s="55">
        <f>+'P&amp;L Detl'!I3</f>
        <v>45397</v>
      </c>
      <c r="G9" s="55">
        <f>+'P&amp;L Detl'!J3</f>
        <v>45427</v>
      </c>
      <c r="H9" s="55">
        <f>+'P&amp;L Detl'!K3</f>
        <v>45457</v>
      </c>
      <c r="I9" s="55">
        <f>+'P&amp;L Detl'!L3</f>
        <v>45487</v>
      </c>
      <c r="J9" s="55">
        <f>+'P&amp;L Detl'!M3</f>
        <v>45517</v>
      </c>
      <c r="K9" s="55">
        <f>+'P&amp;L Detl'!N3</f>
        <v>45547</v>
      </c>
      <c r="L9" s="55">
        <f>+'P&amp;L Detl'!O3</f>
        <v>45577</v>
      </c>
      <c r="M9" s="55">
        <f>+'P&amp;L Detl'!P3</f>
        <v>45607</v>
      </c>
      <c r="N9" s="55">
        <f>+'P&amp;L Detl'!Q3</f>
        <v>45637</v>
      </c>
      <c r="O9" s="56" t="s">
        <v>3</v>
      </c>
    </row>
    <row r="10" spans="1:15" x14ac:dyDescent="0.2">
      <c r="A10" s="57"/>
      <c r="B10" s="27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8"/>
    </row>
    <row r="11" spans="1:15" x14ac:dyDescent="0.2">
      <c r="A11" s="104" t="s">
        <v>73</v>
      </c>
      <c r="B11" s="275"/>
      <c r="C11" s="97">
        <f>+'BS Detl'!B10</f>
        <v>160</v>
      </c>
      <c r="D11" s="97">
        <f>+'BS Detl'!C10</f>
        <v>3600</v>
      </c>
      <c r="E11" s="97">
        <f ca="1">+'BS Detl'!D10</f>
        <v>2400</v>
      </c>
      <c r="F11" s="97">
        <f ca="1">+'BS Detl'!E10</f>
        <v>2400</v>
      </c>
      <c r="G11" s="97">
        <f ca="1">+'BS Detl'!F10</f>
        <v>2820</v>
      </c>
      <c r="H11" s="97">
        <f ca="1">+'BS Detl'!G10</f>
        <v>2880</v>
      </c>
      <c r="I11" s="97">
        <f ca="1">+'BS Detl'!H10</f>
        <v>2880</v>
      </c>
      <c r="J11" s="97">
        <f ca="1">+'BS Detl'!I10</f>
        <v>3300</v>
      </c>
      <c r="K11" s="97">
        <f ca="1">+'BS Detl'!J10</f>
        <v>3360</v>
      </c>
      <c r="L11" s="97">
        <f ca="1">+'BS Detl'!K10</f>
        <v>3360</v>
      </c>
      <c r="M11" s="97">
        <f ca="1">+'BS Detl'!L10</f>
        <v>3780</v>
      </c>
      <c r="N11" s="97">
        <f ca="1">+'BS Detl'!M10</f>
        <v>3840</v>
      </c>
      <c r="O11" s="105">
        <f>+C11</f>
        <v>160</v>
      </c>
    </row>
    <row r="12" spans="1:15" x14ac:dyDescent="0.2">
      <c r="A12" s="106"/>
      <c r="B12" s="276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107"/>
    </row>
    <row r="13" spans="1:15" x14ac:dyDescent="0.2">
      <c r="A13" s="106" t="s">
        <v>83</v>
      </c>
      <c r="B13" s="276" t="s">
        <v>219</v>
      </c>
      <c r="C13" s="98">
        <f>SUMIF('P&amp;L Detl'!$C:C,Controls!$B13,'P&amp;L Detl'!F:F)</f>
        <v>3000</v>
      </c>
      <c r="D13" s="98">
        <f ca="1">SUMIF('P&amp;L Detl'!$C:D,Controls!$B13,'P&amp;L Detl'!G:G)</f>
        <v>3000</v>
      </c>
      <c r="E13" s="98">
        <f ca="1">SUMIF('P&amp;L Detl'!$C:E,Controls!$B13,'P&amp;L Detl'!H:H)</f>
        <v>3000</v>
      </c>
      <c r="F13" s="98">
        <f ca="1">SUMIF('P&amp;L Detl'!$C:F,Controls!$B13,'P&amp;L Detl'!I:I)</f>
        <v>3500</v>
      </c>
      <c r="G13" s="98">
        <f ca="1">SUMIF('P&amp;L Detl'!$C:G,Controls!$B13,'P&amp;L Detl'!J:J)</f>
        <v>3500</v>
      </c>
      <c r="H13" s="98">
        <f ca="1">SUMIF('P&amp;L Detl'!$C:H,Controls!$B13,'P&amp;L Detl'!K:K)</f>
        <v>3500</v>
      </c>
      <c r="I13" s="98">
        <f ca="1">SUMIF('P&amp;L Detl'!$C:I,Controls!$B13,'P&amp;L Detl'!L:L)</f>
        <v>4000</v>
      </c>
      <c r="J13" s="98">
        <f ca="1">SUMIF('P&amp;L Detl'!$C:J,Controls!$B13,'P&amp;L Detl'!M:M)</f>
        <v>4000</v>
      </c>
      <c r="K13" s="98">
        <f ca="1">SUMIF('P&amp;L Detl'!$C:K,Controls!$B13,'P&amp;L Detl'!N:N)</f>
        <v>4000</v>
      </c>
      <c r="L13" s="98">
        <f ca="1">SUMIF('P&amp;L Detl'!$C:L,Controls!$B13,'P&amp;L Detl'!O:O)</f>
        <v>4500</v>
      </c>
      <c r="M13" s="98">
        <f ca="1">SUMIF('P&amp;L Detl'!$C:M,Controls!$B13,'P&amp;L Detl'!P:P)</f>
        <v>4500</v>
      </c>
      <c r="N13" s="98">
        <f ca="1">SUMIF('P&amp;L Detl'!$C:N,Controls!$B13,'P&amp;L Detl'!Q:Q)</f>
        <v>4500</v>
      </c>
      <c r="O13" s="105">
        <f ca="1">SUM(C13:N13)</f>
        <v>45000</v>
      </c>
    </row>
    <row r="14" spans="1:15" x14ac:dyDescent="0.2">
      <c r="A14" s="106" t="s">
        <v>84</v>
      </c>
      <c r="B14" s="276" t="s">
        <v>219</v>
      </c>
      <c r="C14" s="98">
        <f>SUMIF('P&amp;L Detl'!$C:C,Controls!$B14,'P&amp;L Detl'!F:F)*0.2</f>
        <v>600</v>
      </c>
      <c r="D14" s="98">
        <f ca="1">SUMIF('P&amp;L Detl'!$C:D,Controls!$B14,'P&amp;L Detl'!G:G)*0.2</f>
        <v>600</v>
      </c>
      <c r="E14" s="98">
        <f ca="1">SUMIF('P&amp;L Detl'!$C:E,Controls!$B14,'P&amp;L Detl'!H:H)*0.2</f>
        <v>600</v>
      </c>
      <c r="F14" s="98">
        <f ca="1">SUMIF('P&amp;L Detl'!$C:F,Controls!$B14,'P&amp;L Detl'!I:I)*0.2</f>
        <v>700</v>
      </c>
      <c r="G14" s="98">
        <f ca="1">SUMIF('P&amp;L Detl'!$C:G,Controls!$B14,'P&amp;L Detl'!J:J)*0.2</f>
        <v>700</v>
      </c>
      <c r="H14" s="98">
        <f ca="1">SUMIF('P&amp;L Detl'!$C:H,Controls!$B14,'P&amp;L Detl'!K:K)*0.2</f>
        <v>700</v>
      </c>
      <c r="I14" s="98">
        <f ca="1">SUMIF('P&amp;L Detl'!$C:I,Controls!$B14,'P&amp;L Detl'!L:L)*0.2</f>
        <v>800</v>
      </c>
      <c r="J14" s="98">
        <f ca="1">SUMIF('P&amp;L Detl'!$C:J,Controls!$B14,'P&amp;L Detl'!M:M)*0.2</f>
        <v>800</v>
      </c>
      <c r="K14" s="98">
        <f ca="1">SUMIF('P&amp;L Detl'!$C:K,Controls!$B14,'P&amp;L Detl'!N:N)*0.2</f>
        <v>800</v>
      </c>
      <c r="L14" s="98">
        <f ca="1">SUMIF('P&amp;L Detl'!$C:L,Controls!$B14,'P&amp;L Detl'!O:O)*0.2</f>
        <v>900</v>
      </c>
      <c r="M14" s="98">
        <f ca="1">SUMIF('P&amp;L Detl'!$C:M,Controls!$B14,'P&amp;L Detl'!P:P)*0.2</f>
        <v>900</v>
      </c>
      <c r="N14" s="98">
        <f ca="1">SUMIF('P&amp;L Detl'!$C:N,Controls!$B14,'P&amp;L Detl'!Q:Q)*0.2</f>
        <v>900</v>
      </c>
      <c r="O14" s="105">
        <f ca="1">SUM(C14:N14)</f>
        <v>9000</v>
      </c>
    </row>
    <row r="15" spans="1:15" x14ac:dyDescent="0.2">
      <c r="A15" s="106" t="s">
        <v>70</v>
      </c>
      <c r="B15" s="98"/>
      <c r="C15" s="98">
        <f t="shared" ref="C15:N15" si="2">+C13+C14</f>
        <v>3600</v>
      </c>
      <c r="D15" s="98">
        <f t="shared" ca="1" si="2"/>
        <v>3600</v>
      </c>
      <c r="E15" s="98">
        <f t="shared" ca="1" si="2"/>
        <v>3600</v>
      </c>
      <c r="F15" s="98">
        <f t="shared" ca="1" si="2"/>
        <v>4200</v>
      </c>
      <c r="G15" s="98">
        <f t="shared" ca="1" si="2"/>
        <v>4200</v>
      </c>
      <c r="H15" s="98">
        <f t="shared" ca="1" si="2"/>
        <v>4200</v>
      </c>
      <c r="I15" s="98">
        <f t="shared" ca="1" si="2"/>
        <v>4800</v>
      </c>
      <c r="J15" s="98">
        <f t="shared" ca="1" si="2"/>
        <v>4800</v>
      </c>
      <c r="K15" s="98">
        <f t="shared" ca="1" si="2"/>
        <v>4800</v>
      </c>
      <c r="L15" s="98">
        <f t="shared" ca="1" si="2"/>
        <v>5400</v>
      </c>
      <c r="M15" s="98">
        <f t="shared" ca="1" si="2"/>
        <v>5400</v>
      </c>
      <c r="N15" s="98">
        <f t="shared" ca="1" si="2"/>
        <v>5400</v>
      </c>
      <c r="O15" s="105">
        <f ca="1">+O13+O14</f>
        <v>54000</v>
      </c>
    </row>
    <row r="16" spans="1:15" x14ac:dyDescent="0.2">
      <c r="A16" s="106" t="s">
        <v>61</v>
      </c>
      <c r="B16" s="276"/>
      <c r="C16" s="97"/>
      <c r="D16" s="97"/>
      <c r="E16" s="97"/>
      <c r="F16" s="97"/>
      <c r="G16" s="97"/>
      <c r="H16" s="97"/>
      <c r="I16" s="97"/>
      <c r="J16" s="97"/>
      <c r="K16" s="97"/>
      <c r="L16" s="97"/>
      <c r="M16" s="97"/>
      <c r="N16" s="97"/>
      <c r="O16" s="105">
        <f>SUM(C16:N16)</f>
        <v>0</v>
      </c>
    </row>
    <row r="17" spans="1:15" x14ac:dyDescent="0.2">
      <c r="A17" s="106" t="s">
        <v>71</v>
      </c>
      <c r="B17" s="276"/>
      <c r="C17" s="51">
        <v>160</v>
      </c>
      <c r="D17" s="51">
        <v>4800</v>
      </c>
      <c r="E17" s="98">
        <f ca="1">(E15*0.3+D15*0.6+C15*0.1)</f>
        <v>3600</v>
      </c>
      <c r="F17" s="98">
        <f ca="1">(F15*0.3+E15*0.6+D15*0.1)</f>
        <v>3780</v>
      </c>
      <c r="G17" s="98">
        <f ca="1">(G15*0.3+F15*0.6+E15*0.1)</f>
        <v>4140</v>
      </c>
      <c r="H17" s="98">
        <f t="shared" ref="H17:N17" ca="1" si="3">(H15*0.3+G15*0.6+F15*0.1)</f>
        <v>4200</v>
      </c>
      <c r="I17" s="98">
        <f ca="1">(I15*0.3+H15*0.6+G15*0.1)</f>
        <v>4380</v>
      </c>
      <c r="J17" s="98">
        <f t="shared" ca="1" si="3"/>
        <v>4740</v>
      </c>
      <c r="K17" s="98">
        <f t="shared" ca="1" si="3"/>
        <v>4800</v>
      </c>
      <c r="L17" s="98">
        <f t="shared" ca="1" si="3"/>
        <v>4980</v>
      </c>
      <c r="M17" s="98">
        <f t="shared" ca="1" si="3"/>
        <v>5340</v>
      </c>
      <c r="N17" s="98">
        <f t="shared" ca="1" si="3"/>
        <v>5400</v>
      </c>
      <c r="O17" s="105">
        <f ca="1">SUM(C17:N17)</f>
        <v>50320</v>
      </c>
    </row>
    <row r="18" spans="1:15" ht="13.5" thickBot="1" x14ac:dyDescent="0.25">
      <c r="A18" s="106"/>
      <c r="B18" s="276"/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105"/>
    </row>
    <row r="19" spans="1:15" ht="13.5" thickBot="1" x14ac:dyDescent="0.25">
      <c r="A19" s="108" t="s">
        <v>74</v>
      </c>
      <c r="B19" s="277"/>
      <c r="C19" s="109">
        <f>+C11+C15-C16-C17</f>
        <v>3600</v>
      </c>
      <c r="D19" s="109">
        <f t="shared" ref="D19:N19" ca="1" si="4">+D11+D15-D16-D17</f>
        <v>2400</v>
      </c>
      <c r="E19" s="109">
        <f t="shared" ca="1" si="4"/>
        <v>2400</v>
      </c>
      <c r="F19" s="109">
        <f t="shared" ca="1" si="4"/>
        <v>2820</v>
      </c>
      <c r="G19" s="109">
        <f t="shared" ca="1" si="4"/>
        <v>2880</v>
      </c>
      <c r="H19" s="109">
        <f t="shared" ca="1" si="4"/>
        <v>2880</v>
      </c>
      <c r="I19" s="109">
        <f t="shared" ca="1" si="4"/>
        <v>3300</v>
      </c>
      <c r="J19" s="109">
        <f t="shared" ca="1" si="4"/>
        <v>3360</v>
      </c>
      <c r="K19" s="109">
        <f ca="1">+K11+K15-K16-K17</f>
        <v>3360</v>
      </c>
      <c r="L19" s="109">
        <f t="shared" ca="1" si="4"/>
        <v>3780</v>
      </c>
      <c r="M19" s="109">
        <f t="shared" ca="1" si="4"/>
        <v>3840</v>
      </c>
      <c r="N19" s="109">
        <f t="shared" ca="1" si="4"/>
        <v>3840</v>
      </c>
      <c r="O19" s="191">
        <f ca="1">+O11+O15-O16-O17</f>
        <v>3840</v>
      </c>
    </row>
    <row r="20" spans="1:15" s="1" customFormat="1" ht="13.5" thickBot="1" x14ac:dyDescent="0.25">
      <c r="A20" s="110" t="s">
        <v>75</v>
      </c>
      <c r="B20" s="115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05"/>
    </row>
    <row r="21" spans="1:15" ht="13.5" thickBot="1" x14ac:dyDescent="0.25">
      <c r="A21" s="108" t="s">
        <v>76</v>
      </c>
      <c r="B21" s="277"/>
      <c r="C21" s="112">
        <f t="shared" ref="C21:O21" si="5">+C19+C20</f>
        <v>3600</v>
      </c>
      <c r="D21" s="112">
        <f t="shared" ca="1" si="5"/>
        <v>2400</v>
      </c>
      <c r="E21" s="112">
        <f t="shared" ca="1" si="5"/>
        <v>2400</v>
      </c>
      <c r="F21" s="112">
        <f t="shared" ca="1" si="5"/>
        <v>2820</v>
      </c>
      <c r="G21" s="112">
        <f t="shared" ca="1" si="5"/>
        <v>2880</v>
      </c>
      <c r="H21" s="112">
        <f t="shared" ca="1" si="5"/>
        <v>2880</v>
      </c>
      <c r="I21" s="112">
        <f t="shared" ca="1" si="5"/>
        <v>3300</v>
      </c>
      <c r="J21" s="112">
        <f t="shared" ca="1" si="5"/>
        <v>3360</v>
      </c>
      <c r="K21" s="112">
        <f t="shared" ca="1" si="5"/>
        <v>3360</v>
      </c>
      <c r="L21" s="112">
        <f t="shared" ca="1" si="5"/>
        <v>3780</v>
      </c>
      <c r="M21" s="112">
        <f t="shared" ca="1" si="5"/>
        <v>3840</v>
      </c>
      <c r="N21" s="112">
        <f t="shared" ca="1" si="5"/>
        <v>3840</v>
      </c>
      <c r="O21" s="113">
        <f t="shared" ca="1" si="5"/>
        <v>3840</v>
      </c>
    </row>
    <row r="22" spans="1:15" ht="13.5" thickBot="1" x14ac:dyDescent="0.25"/>
    <row r="23" spans="1:15" x14ac:dyDescent="0.2">
      <c r="A23" s="59" t="s">
        <v>85</v>
      </c>
      <c r="B23" s="283"/>
      <c r="C23" s="279">
        <f>+C9</f>
        <v>45307</v>
      </c>
      <c r="D23" s="55">
        <f t="shared" ref="D23:N23" si="6">+D9</f>
        <v>45337</v>
      </c>
      <c r="E23" s="55">
        <f t="shared" si="6"/>
        <v>45367</v>
      </c>
      <c r="F23" s="55">
        <f t="shared" si="6"/>
        <v>45397</v>
      </c>
      <c r="G23" s="55">
        <f t="shared" si="6"/>
        <v>45427</v>
      </c>
      <c r="H23" s="55">
        <f t="shared" si="6"/>
        <v>45457</v>
      </c>
      <c r="I23" s="55">
        <f t="shared" si="6"/>
        <v>45487</v>
      </c>
      <c r="J23" s="55">
        <f t="shared" si="6"/>
        <v>45517</v>
      </c>
      <c r="K23" s="55">
        <f t="shared" si="6"/>
        <v>45547</v>
      </c>
      <c r="L23" s="55">
        <f t="shared" si="6"/>
        <v>45577</v>
      </c>
      <c r="M23" s="55">
        <f t="shared" si="6"/>
        <v>45607</v>
      </c>
      <c r="N23" s="55">
        <f t="shared" si="6"/>
        <v>45637</v>
      </c>
      <c r="O23" s="56" t="s">
        <v>3</v>
      </c>
    </row>
    <row r="24" spans="1:15" x14ac:dyDescent="0.2">
      <c r="A24" s="57"/>
      <c r="B24" s="284"/>
      <c r="C24" s="280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8"/>
    </row>
    <row r="25" spans="1:15" x14ac:dyDescent="0.2">
      <c r="A25" s="104" t="s">
        <v>73</v>
      </c>
      <c r="B25" s="285"/>
      <c r="C25" s="99">
        <f>+'BS Detl'!B14</f>
        <v>849</v>
      </c>
      <c r="D25" s="97">
        <f>+'BS Detl'!C14</f>
        <v>2232</v>
      </c>
      <c r="E25" s="97">
        <f ca="1">+'BS Detl'!D14</f>
        <v>1752</v>
      </c>
      <c r="F25" s="97">
        <f ca="1">+'BS Detl'!E14</f>
        <v>1742</v>
      </c>
      <c r="G25" s="97">
        <f ca="1">+'BS Detl'!F14</f>
        <v>2010</v>
      </c>
      <c r="H25" s="97">
        <f ca="1">+'BS Detl'!G14</f>
        <v>2238</v>
      </c>
      <c r="I25" s="97">
        <f ca="1">+'BS Detl'!H14</f>
        <v>2228</v>
      </c>
      <c r="J25" s="97">
        <f ca="1">+'BS Detl'!I14</f>
        <v>2496</v>
      </c>
      <c r="K25" s="97">
        <f ca="1">+'BS Detl'!J14</f>
        <v>2724</v>
      </c>
      <c r="L25" s="97">
        <f ca="1">+'BS Detl'!K14</f>
        <v>2714</v>
      </c>
      <c r="M25" s="97">
        <f ca="1">+'BS Detl'!L14</f>
        <v>2982</v>
      </c>
      <c r="N25" s="97">
        <f ca="1">+'BS Detl'!M14</f>
        <v>3210</v>
      </c>
      <c r="O25" s="105">
        <f>+C25</f>
        <v>849</v>
      </c>
    </row>
    <row r="26" spans="1:15" x14ac:dyDescent="0.2">
      <c r="A26" s="106"/>
      <c r="B26" s="97"/>
      <c r="C26" s="99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107"/>
    </row>
    <row r="27" spans="1:15" x14ac:dyDescent="0.2">
      <c r="A27" s="278" t="s">
        <v>226</v>
      </c>
      <c r="B27" s="287" t="s">
        <v>222</v>
      </c>
      <c r="C27" s="98">
        <f>SUMIF('P&amp;L Detl'!$C:C,Controls!$B27,'P&amp;L Detl'!F:F)</f>
        <v>1600</v>
      </c>
      <c r="D27" s="98">
        <f ca="1">SUMIF('P&amp;L Detl'!$C:D,Controls!$B27,'P&amp;L Detl'!G:G)</f>
        <v>1600</v>
      </c>
      <c r="E27" s="98">
        <f ca="1">SUMIF('P&amp;L Detl'!$C:E,Controls!$B27,'P&amp;L Detl'!H:H)</f>
        <v>1600</v>
      </c>
      <c r="F27" s="98">
        <f ca="1">SUMIF('P&amp;L Detl'!$C:F,Controls!$B27,'P&amp;L Detl'!I:I)</f>
        <v>1825</v>
      </c>
      <c r="G27" s="98">
        <f ca="1">SUMIF('P&amp;L Detl'!$C:G,Controls!$B27,'P&amp;L Detl'!J:J)</f>
        <v>1825</v>
      </c>
      <c r="H27" s="98">
        <f ca="1">SUMIF('P&amp;L Detl'!$C:H,Controls!$B27,'P&amp;L Detl'!K:K)</f>
        <v>1825</v>
      </c>
      <c r="I27" s="98">
        <f ca="1">SUMIF('P&amp;L Detl'!$C:I,Controls!$B27,'P&amp;L Detl'!L:L)</f>
        <v>2050</v>
      </c>
      <c r="J27" s="98">
        <f ca="1">SUMIF('P&amp;L Detl'!$C:J,Controls!$B27,'P&amp;L Detl'!M:M)</f>
        <v>2050</v>
      </c>
      <c r="K27" s="98">
        <f ca="1">SUMIF('P&amp;L Detl'!$C:K,Controls!$B27,'P&amp;L Detl'!N:N)</f>
        <v>2050</v>
      </c>
      <c r="L27" s="98">
        <f ca="1">SUMIF('P&amp;L Detl'!$C:L,Controls!$B27,'P&amp;L Detl'!O:O)</f>
        <v>2275</v>
      </c>
      <c r="M27" s="98">
        <f ca="1">SUMIF('P&amp;L Detl'!$C:M,Controls!$B27,'P&amp;L Detl'!P:P)</f>
        <v>2275</v>
      </c>
      <c r="N27" s="98">
        <f ca="1">SUMIF('P&amp;L Detl'!$C:N,Controls!$B27,'P&amp;L Detl'!Q:Q)</f>
        <v>2275</v>
      </c>
      <c r="O27" s="105">
        <f t="shared" ref="O27:O33" ca="1" si="7">SUM(C27:N27)</f>
        <v>23250</v>
      </c>
    </row>
    <row r="28" spans="1:15" x14ac:dyDescent="0.2">
      <c r="A28" s="278" t="s">
        <v>227</v>
      </c>
      <c r="B28" s="287" t="s">
        <v>225</v>
      </c>
      <c r="C28" s="98">
        <f>SUMIF('P&amp;L Detl'!$C:C,Controls!$B28,'P&amp;L Detl'!F:F)</f>
        <v>0</v>
      </c>
      <c r="D28" s="98">
        <f ca="1">SUMIF('P&amp;L Detl'!$C:D,Controls!$B28,'P&amp;L Detl'!G:G)</f>
        <v>0</v>
      </c>
      <c r="E28" s="98">
        <f ca="1">SUMIF('P&amp;L Detl'!$C:E,Controls!$B28,'P&amp;L Detl'!H:H)</f>
        <v>0</v>
      </c>
      <c r="F28" s="98">
        <f ca="1">SUMIF('P&amp;L Detl'!$C:F,Controls!$B28,'P&amp;L Detl'!I:I)</f>
        <v>0</v>
      </c>
      <c r="G28" s="98">
        <f ca="1">SUMIF('P&amp;L Detl'!$C:G,Controls!$B28,'P&amp;L Detl'!J:J)</f>
        <v>0</v>
      </c>
      <c r="H28" s="98">
        <f ca="1">SUMIF('P&amp;L Detl'!$C:H,Controls!$B28,'P&amp;L Detl'!K:K)</f>
        <v>0</v>
      </c>
      <c r="I28" s="98">
        <f ca="1">SUMIF('P&amp;L Detl'!$C:I,Controls!$B28,'P&amp;L Detl'!L:L)</f>
        <v>0</v>
      </c>
      <c r="J28" s="98">
        <f ca="1">SUMIF('P&amp;L Detl'!$C:J,Controls!$B28,'P&amp;L Detl'!M:M)</f>
        <v>0</v>
      </c>
      <c r="K28" s="98">
        <f ca="1">SUMIF('P&amp;L Detl'!$C:K,Controls!$B28,'P&amp;L Detl'!N:N)</f>
        <v>0</v>
      </c>
      <c r="L28" s="98">
        <f ca="1">SUMIF('P&amp;L Detl'!$C:L,Controls!$B28,'P&amp;L Detl'!O:O)</f>
        <v>0</v>
      </c>
      <c r="M28" s="98">
        <f ca="1">SUMIF('P&amp;L Detl'!$C:M,Controls!$B28,'P&amp;L Detl'!P:P)</f>
        <v>0</v>
      </c>
      <c r="N28" s="98">
        <f ca="1">SUMIF('P&amp;L Detl'!$C:N,Controls!$B28,'P&amp;L Detl'!Q:Q)</f>
        <v>0</v>
      </c>
      <c r="O28" s="105">
        <f t="shared" ca="1" si="7"/>
        <v>0</v>
      </c>
    </row>
    <row r="29" spans="1:15" x14ac:dyDescent="0.2">
      <c r="A29" s="278" t="s">
        <v>228</v>
      </c>
      <c r="B29" s="287" t="s">
        <v>224</v>
      </c>
      <c r="C29" s="98">
        <f>SUMIF('P&amp;L Detl'!$C:C,Controls!$B29,'P&amp;L Detl'!F:F)</f>
        <v>300</v>
      </c>
      <c r="D29" s="98">
        <f ca="1">SUMIF('P&amp;L Detl'!$C:D,Controls!$B29,'P&amp;L Detl'!G:G)</f>
        <v>300</v>
      </c>
      <c r="E29" s="98">
        <f ca="1">SUMIF('P&amp;L Detl'!$C:E,Controls!$B29,'P&amp;L Detl'!H:H)</f>
        <v>300</v>
      </c>
      <c r="F29" s="98">
        <f ca="1">SUMIF('P&amp;L Detl'!$C:F,Controls!$B29,'P&amp;L Detl'!I:I)</f>
        <v>300</v>
      </c>
      <c r="G29" s="98">
        <f ca="1">SUMIF('P&amp;L Detl'!$C:G,Controls!$B29,'P&amp;L Detl'!J:J)</f>
        <v>300</v>
      </c>
      <c r="H29" s="98">
        <f ca="1">SUMIF('P&amp;L Detl'!$C:H,Controls!$B29,'P&amp;L Detl'!K:K)</f>
        <v>300</v>
      </c>
      <c r="I29" s="98">
        <f ca="1">SUMIF('P&amp;L Detl'!$C:I,Controls!$B29,'P&amp;L Detl'!L:L)</f>
        <v>300</v>
      </c>
      <c r="J29" s="98">
        <f ca="1">SUMIF('P&amp;L Detl'!$C:J,Controls!$B29,'P&amp;L Detl'!M:M)</f>
        <v>300</v>
      </c>
      <c r="K29" s="98">
        <f ca="1">SUMIF('P&amp;L Detl'!$C:K,Controls!$B29,'P&amp;L Detl'!N:N)</f>
        <v>300</v>
      </c>
      <c r="L29" s="98">
        <f ca="1">SUMIF('P&amp;L Detl'!$C:L,Controls!$B29,'P&amp;L Detl'!O:O)</f>
        <v>300</v>
      </c>
      <c r="M29" s="98">
        <f ca="1">SUMIF('P&amp;L Detl'!$C:M,Controls!$B29,'P&amp;L Detl'!P:P)</f>
        <v>300</v>
      </c>
      <c r="N29" s="98">
        <f ca="1">SUMIF('P&amp;L Detl'!$C:N,Controls!$B29,'P&amp;L Detl'!Q:Q)</f>
        <v>300</v>
      </c>
      <c r="O29" s="105">
        <f t="shared" ca="1" si="7"/>
        <v>3600</v>
      </c>
    </row>
    <row r="30" spans="1:15" x14ac:dyDescent="0.2">
      <c r="A30" s="106" t="s">
        <v>136</v>
      </c>
      <c r="B30" s="97"/>
      <c r="C30" s="100">
        <f>C6</f>
        <v>10</v>
      </c>
      <c r="D30" s="100">
        <f t="shared" ref="D30:N30" si="8">D6</f>
        <v>0</v>
      </c>
      <c r="E30" s="100">
        <f t="shared" si="8"/>
        <v>0</v>
      </c>
      <c r="F30" s="100">
        <f t="shared" si="8"/>
        <v>10</v>
      </c>
      <c r="G30" s="100">
        <f t="shared" si="8"/>
        <v>0</v>
      </c>
      <c r="H30" s="100">
        <f t="shared" si="8"/>
        <v>0</v>
      </c>
      <c r="I30" s="100">
        <f t="shared" si="8"/>
        <v>10</v>
      </c>
      <c r="J30" s="100">
        <f t="shared" si="8"/>
        <v>0</v>
      </c>
      <c r="K30" s="100">
        <f t="shared" si="8"/>
        <v>0</v>
      </c>
      <c r="L30" s="100">
        <f t="shared" si="8"/>
        <v>10</v>
      </c>
      <c r="M30" s="100">
        <f t="shared" si="8"/>
        <v>0</v>
      </c>
      <c r="N30" s="100">
        <f t="shared" si="8"/>
        <v>0</v>
      </c>
      <c r="O30" s="105">
        <f t="shared" si="7"/>
        <v>40</v>
      </c>
    </row>
    <row r="31" spans="1:15" x14ac:dyDescent="0.2">
      <c r="A31" s="278" t="s">
        <v>237</v>
      </c>
      <c r="B31" s="97"/>
      <c r="C31" s="100">
        <f t="shared" ref="C31:N31" si="9">C27*0.2+C28*0.1+C29*0+C30*0.2</f>
        <v>322</v>
      </c>
      <c r="D31" s="100">
        <f t="shared" ca="1" si="9"/>
        <v>320</v>
      </c>
      <c r="E31" s="100">
        <f t="shared" ca="1" si="9"/>
        <v>320</v>
      </c>
      <c r="F31" s="100">
        <f t="shared" ca="1" si="9"/>
        <v>367</v>
      </c>
      <c r="G31" s="100">
        <f t="shared" ca="1" si="9"/>
        <v>365</v>
      </c>
      <c r="H31" s="100">
        <f t="shared" ca="1" si="9"/>
        <v>365</v>
      </c>
      <c r="I31" s="100">
        <f t="shared" ca="1" si="9"/>
        <v>412</v>
      </c>
      <c r="J31" s="100">
        <f t="shared" ca="1" si="9"/>
        <v>410</v>
      </c>
      <c r="K31" s="100">
        <f t="shared" ca="1" si="9"/>
        <v>410</v>
      </c>
      <c r="L31" s="100">
        <f t="shared" ca="1" si="9"/>
        <v>457</v>
      </c>
      <c r="M31" s="100">
        <f t="shared" ca="1" si="9"/>
        <v>455</v>
      </c>
      <c r="N31" s="100">
        <f t="shared" ca="1" si="9"/>
        <v>455</v>
      </c>
      <c r="O31" s="105">
        <f t="shared" ca="1" si="7"/>
        <v>4658</v>
      </c>
    </row>
    <row r="32" spans="1:15" x14ac:dyDescent="0.2">
      <c r="A32" s="106" t="s">
        <v>86</v>
      </c>
      <c r="B32" s="97"/>
      <c r="C32" s="100">
        <f>SUM(C27:C31)</f>
        <v>2232</v>
      </c>
      <c r="D32" s="100">
        <f t="shared" ref="D32:N32" ca="1" si="10">SUM(D27:D31)</f>
        <v>2220</v>
      </c>
      <c r="E32" s="100">
        <f t="shared" ca="1" si="10"/>
        <v>2220</v>
      </c>
      <c r="F32" s="100">
        <f t="shared" ca="1" si="10"/>
        <v>2502</v>
      </c>
      <c r="G32" s="100">
        <f t="shared" ca="1" si="10"/>
        <v>2490</v>
      </c>
      <c r="H32" s="100">
        <f t="shared" ca="1" si="10"/>
        <v>2490</v>
      </c>
      <c r="I32" s="100">
        <f t="shared" ca="1" si="10"/>
        <v>2772</v>
      </c>
      <c r="J32" s="100">
        <f t="shared" ca="1" si="10"/>
        <v>2760</v>
      </c>
      <c r="K32" s="100">
        <f t="shared" ca="1" si="10"/>
        <v>2760</v>
      </c>
      <c r="L32" s="100">
        <f t="shared" ca="1" si="10"/>
        <v>3042</v>
      </c>
      <c r="M32" s="100">
        <f t="shared" ca="1" si="10"/>
        <v>3030</v>
      </c>
      <c r="N32" s="100">
        <f t="shared" ca="1" si="10"/>
        <v>3030</v>
      </c>
      <c r="O32" s="105">
        <f t="shared" ca="1" si="7"/>
        <v>31548</v>
      </c>
    </row>
    <row r="33" spans="1:15" x14ac:dyDescent="0.2">
      <c r="A33" s="106" t="s">
        <v>87</v>
      </c>
      <c r="B33" s="97"/>
      <c r="C33" s="51">
        <v>849</v>
      </c>
      <c r="D33" s="51">
        <v>2700</v>
      </c>
      <c r="E33" s="98">
        <f ca="1">+C32*0.85+D32*0.1+E32*0.05</f>
        <v>2230</v>
      </c>
      <c r="F33" s="98">
        <f ca="1">+D32*0.85+E32*0.1+F32*0.05</f>
        <v>2234</v>
      </c>
      <c r="G33" s="98">
        <f t="shared" ref="G33:N33" ca="1" si="11">+E32*0.85+F32*0.1+G32*0.05</f>
        <v>2262</v>
      </c>
      <c r="H33" s="98">
        <f t="shared" ca="1" si="11"/>
        <v>2500</v>
      </c>
      <c r="I33" s="98">
        <f ca="1">+G32*0.85+H32*0.1+I32*0.05</f>
        <v>2504</v>
      </c>
      <c r="J33" s="98">
        <f ca="1">+H32*0.85+I32*0.1+J32*0.05</f>
        <v>2532</v>
      </c>
      <c r="K33" s="98">
        <f ca="1">+I32*0.85+J32*0.1+K32*0.05</f>
        <v>2770</v>
      </c>
      <c r="L33" s="98">
        <f t="shared" ca="1" si="11"/>
        <v>2774</v>
      </c>
      <c r="M33" s="98">
        <f t="shared" ca="1" si="11"/>
        <v>2802</v>
      </c>
      <c r="N33" s="98">
        <f t="shared" ca="1" si="11"/>
        <v>3040</v>
      </c>
      <c r="O33" s="105">
        <f t="shared" ca="1" si="7"/>
        <v>29197</v>
      </c>
    </row>
    <row r="34" spans="1:15" ht="13.5" thickBot="1" x14ac:dyDescent="0.25">
      <c r="A34" s="106"/>
      <c r="B34" s="97"/>
      <c r="C34" s="99"/>
      <c r="D34" s="97"/>
      <c r="E34" s="97"/>
      <c r="F34" s="97"/>
      <c r="G34" s="97"/>
      <c r="H34" s="97"/>
      <c r="I34" s="97"/>
      <c r="J34" s="97"/>
      <c r="K34" s="97"/>
      <c r="L34" s="97"/>
      <c r="M34" s="97"/>
      <c r="N34" s="97"/>
      <c r="O34" s="105"/>
    </row>
    <row r="35" spans="1:15" ht="13.5" thickBot="1" x14ac:dyDescent="0.25">
      <c r="A35" s="108" t="s">
        <v>74</v>
      </c>
      <c r="B35" s="286"/>
      <c r="C35" s="281">
        <f t="shared" ref="C35:O35" si="12">+C25+C32-C33</f>
        <v>2232</v>
      </c>
      <c r="D35" s="109">
        <f t="shared" ca="1" si="12"/>
        <v>1752</v>
      </c>
      <c r="E35" s="109">
        <f t="shared" ca="1" si="12"/>
        <v>1742</v>
      </c>
      <c r="F35" s="109">
        <f t="shared" ca="1" si="12"/>
        <v>2010</v>
      </c>
      <c r="G35" s="109">
        <f t="shared" ca="1" si="12"/>
        <v>2238</v>
      </c>
      <c r="H35" s="109">
        <f t="shared" ca="1" si="12"/>
        <v>2228</v>
      </c>
      <c r="I35" s="109">
        <f t="shared" ca="1" si="12"/>
        <v>2496</v>
      </c>
      <c r="J35" s="109">
        <f t="shared" ca="1" si="12"/>
        <v>2724</v>
      </c>
      <c r="K35" s="109">
        <f t="shared" ca="1" si="12"/>
        <v>2714</v>
      </c>
      <c r="L35" s="109">
        <f t="shared" ca="1" si="12"/>
        <v>2982</v>
      </c>
      <c r="M35" s="109">
        <f t="shared" ca="1" si="12"/>
        <v>3210</v>
      </c>
      <c r="N35" s="109">
        <f t="shared" ca="1" si="12"/>
        <v>3200</v>
      </c>
      <c r="O35" s="191">
        <f t="shared" ca="1" si="12"/>
        <v>3200</v>
      </c>
    </row>
    <row r="36" spans="1:15" s="1" customFormat="1" ht="13.5" thickBot="1" x14ac:dyDescent="0.25">
      <c r="A36" s="110"/>
      <c r="B36" s="116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05"/>
    </row>
    <row r="37" spans="1:15" ht="13.5" thickBot="1" x14ac:dyDescent="0.25">
      <c r="A37" s="108" t="s">
        <v>74</v>
      </c>
      <c r="B37" s="286"/>
      <c r="C37" s="282">
        <f t="shared" ref="C37:O37" si="13">+C35+C36</f>
        <v>2232</v>
      </c>
      <c r="D37" s="112">
        <f t="shared" ca="1" si="13"/>
        <v>1752</v>
      </c>
      <c r="E37" s="112">
        <f t="shared" ca="1" si="13"/>
        <v>1742</v>
      </c>
      <c r="F37" s="112">
        <f t="shared" ca="1" si="13"/>
        <v>2010</v>
      </c>
      <c r="G37" s="112">
        <f t="shared" ca="1" si="13"/>
        <v>2238</v>
      </c>
      <c r="H37" s="112">
        <f t="shared" ca="1" si="13"/>
        <v>2228</v>
      </c>
      <c r="I37" s="112">
        <f t="shared" ca="1" si="13"/>
        <v>2496</v>
      </c>
      <c r="J37" s="112">
        <f t="shared" ca="1" si="13"/>
        <v>2724</v>
      </c>
      <c r="K37" s="112">
        <f t="shared" ca="1" si="13"/>
        <v>2714</v>
      </c>
      <c r="L37" s="112">
        <f t="shared" ca="1" si="13"/>
        <v>2982</v>
      </c>
      <c r="M37" s="112">
        <f t="shared" ca="1" si="13"/>
        <v>3210</v>
      </c>
      <c r="N37" s="112">
        <f t="shared" ca="1" si="13"/>
        <v>3200</v>
      </c>
      <c r="O37" s="113">
        <f t="shared" ca="1" si="13"/>
        <v>3200</v>
      </c>
    </row>
    <row r="38" spans="1:15" ht="13.5" thickBot="1" x14ac:dyDescent="0.25"/>
    <row r="39" spans="1:15" x14ac:dyDescent="0.2">
      <c r="A39" s="59" t="s">
        <v>66</v>
      </c>
      <c r="B39" s="268"/>
      <c r="C39" s="55">
        <f t="shared" ref="C39:N39" si="14">+C9</f>
        <v>45307</v>
      </c>
      <c r="D39" s="55">
        <f t="shared" si="14"/>
        <v>45337</v>
      </c>
      <c r="E39" s="55">
        <f t="shared" si="14"/>
        <v>45367</v>
      </c>
      <c r="F39" s="55">
        <f t="shared" si="14"/>
        <v>45397</v>
      </c>
      <c r="G39" s="55">
        <f t="shared" si="14"/>
        <v>45427</v>
      </c>
      <c r="H39" s="55">
        <f t="shared" si="14"/>
        <v>45457</v>
      </c>
      <c r="I39" s="55">
        <f t="shared" si="14"/>
        <v>45487</v>
      </c>
      <c r="J39" s="55">
        <f t="shared" si="14"/>
        <v>45517</v>
      </c>
      <c r="K39" s="55">
        <f t="shared" si="14"/>
        <v>45547</v>
      </c>
      <c r="L39" s="55">
        <f t="shared" si="14"/>
        <v>45577</v>
      </c>
      <c r="M39" s="55">
        <f t="shared" si="14"/>
        <v>45607</v>
      </c>
      <c r="N39" s="55">
        <f t="shared" si="14"/>
        <v>45637</v>
      </c>
      <c r="O39" s="56" t="s">
        <v>3</v>
      </c>
    </row>
    <row r="40" spans="1:15" x14ac:dyDescent="0.2">
      <c r="A40" s="57"/>
      <c r="B40" s="269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8"/>
    </row>
    <row r="41" spans="1:15" x14ac:dyDescent="0.2">
      <c r="A41" s="104" t="s">
        <v>73</v>
      </c>
      <c r="B41" s="270"/>
      <c r="C41" s="97">
        <f>+'BS Detl'!B17</f>
        <v>212</v>
      </c>
      <c r="D41" s="98">
        <f t="shared" ref="D41:N41" si="15">+C50</f>
        <v>490</v>
      </c>
      <c r="E41" s="98">
        <f t="shared" ca="1" si="15"/>
        <v>-442</v>
      </c>
      <c r="F41" s="98">
        <f t="shared" ca="1" si="15"/>
        <v>-162</v>
      </c>
      <c r="G41" s="98">
        <f t="shared" ca="1" si="15"/>
        <v>171</v>
      </c>
      <c r="H41" s="98">
        <f t="shared" ca="1" si="15"/>
        <v>668</v>
      </c>
      <c r="I41" s="98">
        <f t="shared" ca="1" si="15"/>
        <v>1003</v>
      </c>
      <c r="J41" s="98">
        <f t="shared" ca="1" si="15"/>
        <v>1391</v>
      </c>
      <c r="K41" s="98">
        <f t="shared" ca="1" si="15"/>
        <v>778</v>
      </c>
      <c r="L41" s="98">
        <f t="shared" ca="1" si="15"/>
        <v>1168</v>
      </c>
      <c r="M41" s="98">
        <f t="shared" ca="1" si="15"/>
        <v>1611</v>
      </c>
      <c r="N41" s="98">
        <f t="shared" ca="1" si="15"/>
        <v>888</v>
      </c>
      <c r="O41" s="105">
        <f>+C41</f>
        <v>212</v>
      </c>
    </row>
    <row r="42" spans="1:15" x14ac:dyDescent="0.2">
      <c r="A42" s="106"/>
      <c r="B42" s="271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  <c r="O42" s="107"/>
    </row>
    <row r="43" spans="1:15" x14ac:dyDescent="0.2">
      <c r="A43" s="106" t="s">
        <v>89</v>
      </c>
      <c r="B43" s="271"/>
      <c r="C43" s="98">
        <f t="shared" ref="C43:N43" si="16">C14</f>
        <v>600</v>
      </c>
      <c r="D43" s="98">
        <f t="shared" ca="1" si="16"/>
        <v>600</v>
      </c>
      <c r="E43" s="98">
        <f t="shared" ca="1" si="16"/>
        <v>600</v>
      </c>
      <c r="F43" s="98">
        <f t="shared" ca="1" si="16"/>
        <v>700</v>
      </c>
      <c r="G43" s="98">
        <f t="shared" ca="1" si="16"/>
        <v>700</v>
      </c>
      <c r="H43" s="98">
        <f t="shared" ca="1" si="16"/>
        <v>700</v>
      </c>
      <c r="I43" s="98">
        <f t="shared" ca="1" si="16"/>
        <v>800</v>
      </c>
      <c r="J43" s="98">
        <f t="shared" ca="1" si="16"/>
        <v>800</v>
      </c>
      <c r="K43" s="98">
        <f t="shared" ca="1" si="16"/>
        <v>800</v>
      </c>
      <c r="L43" s="98">
        <f t="shared" ca="1" si="16"/>
        <v>900</v>
      </c>
      <c r="M43" s="98">
        <f t="shared" ca="1" si="16"/>
        <v>900</v>
      </c>
      <c r="N43" s="98">
        <f t="shared" ca="1" si="16"/>
        <v>900</v>
      </c>
      <c r="O43" s="105">
        <f ca="1">SUM(C43:N43)</f>
        <v>9000</v>
      </c>
    </row>
    <row r="44" spans="1:15" x14ac:dyDescent="0.2">
      <c r="A44" s="106" t="s">
        <v>90</v>
      </c>
      <c r="B44" s="271"/>
      <c r="C44" s="98">
        <f>-C31</f>
        <v>-322</v>
      </c>
      <c r="D44" s="98">
        <f t="shared" ref="D44:N44" ca="1" si="17">-D31</f>
        <v>-320</v>
      </c>
      <c r="E44" s="98">
        <f t="shared" ca="1" si="17"/>
        <v>-320</v>
      </c>
      <c r="F44" s="98">
        <f t="shared" ca="1" si="17"/>
        <v>-367</v>
      </c>
      <c r="G44" s="98">
        <f t="shared" ca="1" si="17"/>
        <v>-365</v>
      </c>
      <c r="H44" s="98">
        <f t="shared" ca="1" si="17"/>
        <v>-365</v>
      </c>
      <c r="I44" s="98">
        <f t="shared" ca="1" si="17"/>
        <v>-412</v>
      </c>
      <c r="J44" s="98">
        <f t="shared" ca="1" si="17"/>
        <v>-410</v>
      </c>
      <c r="K44" s="98">
        <f t="shared" ca="1" si="17"/>
        <v>-410</v>
      </c>
      <c r="L44" s="98">
        <f t="shared" ca="1" si="17"/>
        <v>-457</v>
      </c>
      <c r="M44" s="98">
        <f t="shared" ca="1" si="17"/>
        <v>-455</v>
      </c>
      <c r="N44" s="98">
        <f t="shared" ca="1" si="17"/>
        <v>-455</v>
      </c>
      <c r="O44" s="105">
        <f ca="1">SUM(C44:N44)</f>
        <v>-4658</v>
      </c>
    </row>
    <row r="45" spans="1:15" x14ac:dyDescent="0.2">
      <c r="A45" s="106" t="s">
        <v>163</v>
      </c>
      <c r="B45" s="271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105">
        <f>SUM(C45:N45)</f>
        <v>0</v>
      </c>
    </row>
    <row r="46" spans="1:15" x14ac:dyDescent="0.2">
      <c r="A46" s="278" t="s">
        <v>231</v>
      </c>
      <c r="B46" s="271"/>
      <c r="C46" s="98">
        <f>-MthlyCapex!C13*0.2</f>
        <v>0</v>
      </c>
      <c r="D46" s="98">
        <f>-MthlyCapex!D13*0.2</f>
        <v>-1000</v>
      </c>
      <c r="E46" s="98">
        <f>-MthlyCapex!E13*0.2</f>
        <v>0</v>
      </c>
      <c r="F46" s="98">
        <f>-MthlyCapex!F13*0.2</f>
        <v>0</v>
      </c>
      <c r="G46" s="98">
        <f>-MthlyCapex!G13*0.2</f>
        <v>0</v>
      </c>
      <c r="H46" s="98">
        <f>-MthlyCapex!H13*0.2</f>
        <v>0</v>
      </c>
      <c r="I46" s="98">
        <f>-MthlyCapex!I13*0.2</f>
        <v>0</v>
      </c>
      <c r="J46" s="98">
        <f>-MthlyCapex!J13*0.2</f>
        <v>0</v>
      </c>
      <c r="K46" s="98">
        <f>-MthlyCapex!K13*0.2</f>
        <v>0</v>
      </c>
      <c r="L46" s="98">
        <f>-MthlyCapex!L13*0.2</f>
        <v>0</v>
      </c>
      <c r="M46" s="98">
        <f>-MthlyCapex!M13*0.2</f>
        <v>0</v>
      </c>
      <c r="N46" s="98">
        <f>-MthlyCapex!N13*0.2</f>
        <v>0</v>
      </c>
      <c r="O46" s="105">
        <f>SUM(C46:N46)</f>
        <v>-1000</v>
      </c>
    </row>
    <row r="47" spans="1:15" x14ac:dyDescent="0.2">
      <c r="A47" s="106" t="s">
        <v>88</v>
      </c>
      <c r="B47" s="271"/>
      <c r="C47" s="98">
        <f>+C43+C44+C45+C46</f>
        <v>278</v>
      </c>
      <c r="D47" s="98">
        <f t="shared" ref="D47:N47" ca="1" si="18">+D43+D44+D45+D46</f>
        <v>-720</v>
      </c>
      <c r="E47" s="98">
        <f t="shared" ca="1" si="18"/>
        <v>280</v>
      </c>
      <c r="F47" s="98">
        <f t="shared" ca="1" si="18"/>
        <v>333</v>
      </c>
      <c r="G47" s="98">
        <f t="shared" ca="1" si="18"/>
        <v>335</v>
      </c>
      <c r="H47" s="98">
        <f t="shared" ca="1" si="18"/>
        <v>335</v>
      </c>
      <c r="I47" s="98">
        <f t="shared" ca="1" si="18"/>
        <v>388</v>
      </c>
      <c r="J47" s="98">
        <f t="shared" ca="1" si="18"/>
        <v>390</v>
      </c>
      <c r="K47" s="98">
        <f t="shared" ca="1" si="18"/>
        <v>390</v>
      </c>
      <c r="L47" s="98">
        <f t="shared" ca="1" si="18"/>
        <v>443</v>
      </c>
      <c r="M47" s="98">
        <f t="shared" ca="1" si="18"/>
        <v>445</v>
      </c>
      <c r="N47" s="98">
        <f t="shared" ca="1" si="18"/>
        <v>445</v>
      </c>
      <c r="O47" s="105">
        <f ca="1">+O43+O44+O46</f>
        <v>3342</v>
      </c>
    </row>
    <row r="48" spans="1:15" x14ac:dyDescent="0.2">
      <c r="A48" s="106" t="s">
        <v>87</v>
      </c>
      <c r="B48" s="271"/>
      <c r="C48" s="98"/>
      <c r="D48" s="98">
        <f>C41</f>
        <v>212</v>
      </c>
      <c r="E48" s="98"/>
      <c r="F48" s="98"/>
      <c r="G48" s="98">
        <f ca="1">F41</f>
        <v>-162</v>
      </c>
      <c r="H48" s="98"/>
      <c r="I48" s="98"/>
      <c r="J48" s="98">
        <f ca="1">I41</f>
        <v>1003</v>
      </c>
      <c r="K48" s="98"/>
      <c r="L48" s="98"/>
      <c r="M48" s="98">
        <f ca="1">L41</f>
        <v>1168</v>
      </c>
      <c r="N48" s="98"/>
      <c r="O48" s="105">
        <f ca="1">SUM(C48:N48)</f>
        <v>2221</v>
      </c>
    </row>
    <row r="49" spans="1:15" ht="13.5" thickBot="1" x14ac:dyDescent="0.25">
      <c r="A49" s="106"/>
      <c r="B49" s="271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105"/>
    </row>
    <row r="50" spans="1:15" ht="13.5" thickBot="1" x14ac:dyDescent="0.25">
      <c r="A50" s="108" t="s">
        <v>72</v>
      </c>
      <c r="B50" s="272"/>
      <c r="C50" s="109">
        <f t="shared" ref="C50:O50" si="19">+C41+C47-C48</f>
        <v>490</v>
      </c>
      <c r="D50" s="109">
        <f t="shared" ca="1" si="19"/>
        <v>-442</v>
      </c>
      <c r="E50" s="109">
        <f t="shared" ca="1" si="19"/>
        <v>-162</v>
      </c>
      <c r="F50" s="109">
        <f t="shared" ca="1" si="19"/>
        <v>171</v>
      </c>
      <c r="G50" s="109">
        <f t="shared" ca="1" si="19"/>
        <v>668</v>
      </c>
      <c r="H50" s="109">
        <f t="shared" ca="1" si="19"/>
        <v>1003</v>
      </c>
      <c r="I50" s="109">
        <f t="shared" ca="1" si="19"/>
        <v>1391</v>
      </c>
      <c r="J50" s="109">
        <f t="shared" ca="1" si="19"/>
        <v>778</v>
      </c>
      <c r="K50" s="109">
        <f t="shared" ca="1" si="19"/>
        <v>1168</v>
      </c>
      <c r="L50" s="109">
        <f t="shared" ca="1" si="19"/>
        <v>1611</v>
      </c>
      <c r="M50" s="109">
        <f t="shared" ca="1" si="19"/>
        <v>888</v>
      </c>
      <c r="N50" s="109">
        <f t="shared" ca="1" si="19"/>
        <v>1333</v>
      </c>
      <c r="O50" s="113">
        <f t="shared" ca="1" si="19"/>
        <v>1333</v>
      </c>
    </row>
    <row r="51" spans="1:15" ht="13.5" thickBot="1" x14ac:dyDescent="0.25">
      <c r="A51" s="79"/>
      <c r="B51" s="79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</row>
    <row r="52" spans="1:15" x14ac:dyDescent="0.2">
      <c r="A52" s="59" t="s">
        <v>129</v>
      </c>
      <c r="B52" s="268"/>
      <c r="C52" s="55">
        <f t="shared" ref="C52:N52" si="20">+C9</f>
        <v>45307</v>
      </c>
      <c r="D52" s="55">
        <f t="shared" si="20"/>
        <v>45337</v>
      </c>
      <c r="E52" s="55">
        <f t="shared" si="20"/>
        <v>45367</v>
      </c>
      <c r="F52" s="55">
        <f t="shared" si="20"/>
        <v>45397</v>
      </c>
      <c r="G52" s="55">
        <f t="shared" si="20"/>
        <v>45427</v>
      </c>
      <c r="H52" s="55">
        <f t="shared" si="20"/>
        <v>45457</v>
      </c>
      <c r="I52" s="55">
        <f t="shared" si="20"/>
        <v>45487</v>
      </c>
      <c r="J52" s="55">
        <f t="shared" si="20"/>
        <v>45517</v>
      </c>
      <c r="K52" s="55">
        <f t="shared" si="20"/>
        <v>45547</v>
      </c>
      <c r="L52" s="55">
        <f t="shared" si="20"/>
        <v>45577</v>
      </c>
      <c r="M52" s="55">
        <f t="shared" si="20"/>
        <v>45607</v>
      </c>
      <c r="N52" s="55">
        <f t="shared" si="20"/>
        <v>45637</v>
      </c>
      <c r="O52" s="56" t="s">
        <v>3</v>
      </c>
    </row>
    <row r="53" spans="1:15" x14ac:dyDescent="0.2">
      <c r="A53" s="57"/>
      <c r="B53" s="269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8"/>
    </row>
    <row r="54" spans="1:15" x14ac:dyDescent="0.2">
      <c r="A54" s="104" t="s">
        <v>242</v>
      </c>
      <c r="B54" s="270"/>
      <c r="C54" s="97">
        <v>20</v>
      </c>
      <c r="D54" s="98">
        <f>+C61</f>
        <v>547</v>
      </c>
      <c r="E54" s="98">
        <f t="shared" ref="E54:N54" si="21">+D61</f>
        <v>547</v>
      </c>
      <c r="F54" s="98">
        <f t="shared" si="21"/>
        <v>547</v>
      </c>
      <c r="G54" s="98">
        <f t="shared" si="21"/>
        <v>554</v>
      </c>
      <c r="H54" s="98">
        <f t="shared" si="21"/>
        <v>554</v>
      </c>
      <c r="I54" s="98">
        <f t="shared" si="21"/>
        <v>554</v>
      </c>
      <c r="J54" s="98">
        <f t="shared" si="21"/>
        <v>562</v>
      </c>
      <c r="K54" s="98">
        <f t="shared" si="21"/>
        <v>562</v>
      </c>
      <c r="L54" s="98">
        <f t="shared" si="21"/>
        <v>43</v>
      </c>
      <c r="M54" s="98">
        <f t="shared" si="21"/>
        <v>50</v>
      </c>
      <c r="N54" s="98">
        <f t="shared" si="21"/>
        <v>50</v>
      </c>
      <c r="O54" s="105">
        <f>+C54</f>
        <v>20</v>
      </c>
    </row>
    <row r="55" spans="1:15" x14ac:dyDescent="0.2">
      <c r="A55" s="104" t="s">
        <v>243</v>
      </c>
      <c r="B55" s="271"/>
      <c r="C55" s="97">
        <v>519</v>
      </c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107"/>
    </row>
    <row r="56" spans="1:15" x14ac:dyDescent="0.2">
      <c r="A56" s="106" t="s">
        <v>130</v>
      </c>
      <c r="B56" s="271"/>
      <c r="C56" s="291">
        <f>('P&amp;L Detl'!F11+'P&amp;L Detl'!F19)*0.3</f>
        <v>158</v>
      </c>
      <c r="D56" s="291">
        <f>('P&amp;L Detl'!G11+'P&amp;L Detl'!G19)*0.3</f>
        <v>158</v>
      </c>
      <c r="E56" s="291">
        <f>('P&amp;L Detl'!H11+'P&amp;L Detl'!H19)*0.3</f>
        <v>158</v>
      </c>
      <c r="F56" s="291">
        <f>('P&amp;L Detl'!I11+'P&amp;L Detl'!I19)*0.3</f>
        <v>165</v>
      </c>
      <c r="G56" s="291">
        <f>('P&amp;L Detl'!J11+'P&amp;L Detl'!J19)*0.3</f>
        <v>165</v>
      </c>
      <c r="H56" s="291">
        <f>('P&amp;L Detl'!K11+'P&amp;L Detl'!K19)*0.3</f>
        <v>165</v>
      </c>
      <c r="I56" s="291">
        <f>('P&amp;L Detl'!L11+'P&amp;L Detl'!L19)*0.3</f>
        <v>173</v>
      </c>
      <c r="J56" s="291">
        <f>('P&amp;L Detl'!M11+'P&amp;L Detl'!M19)*0.3</f>
        <v>173</v>
      </c>
      <c r="K56" s="291">
        <f>('P&amp;L Detl'!N11+'P&amp;L Detl'!N19)*0.3</f>
        <v>173</v>
      </c>
      <c r="L56" s="291">
        <f>('P&amp;L Detl'!O11+'P&amp;L Detl'!O19)*0.3</f>
        <v>180</v>
      </c>
      <c r="M56" s="291">
        <f>('P&amp;L Detl'!P11+'P&amp;L Detl'!P19)*0.3</f>
        <v>180</v>
      </c>
      <c r="N56" s="291">
        <f>('P&amp;L Detl'!Q11+'P&amp;L Detl'!Q19)*0.3</f>
        <v>180</v>
      </c>
      <c r="O56" s="105">
        <f>SUM(C56:N56)</f>
        <v>2028</v>
      </c>
    </row>
    <row r="57" spans="1:15" x14ac:dyDescent="0.2">
      <c r="A57" s="106" t="s">
        <v>131</v>
      </c>
      <c r="B57" s="271"/>
      <c r="C57" s="98">
        <f>'P&amp;L Detl'!F63</f>
        <v>0</v>
      </c>
      <c r="D57" s="98">
        <f>'P&amp;L Detl'!G63</f>
        <v>0</v>
      </c>
      <c r="E57" s="98">
        <f>'P&amp;L Detl'!H63</f>
        <v>0</v>
      </c>
      <c r="F57" s="98">
        <f>'P&amp;L Detl'!I63</f>
        <v>0</v>
      </c>
      <c r="G57" s="98">
        <f>'P&amp;L Detl'!J63</f>
        <v>0</v>
      </c>
      <c r="H57" s="98">
        <f>'P&amp;L Detl'!K63</f>
        <v>0</v>
      </c>
      <c r="I57" s="98">
        <f>'P&amp;L Detl'!L63</f>
        <v>0</v>
      </c>
      <c r="J57" s="98">
        <f>'P&amp;L Detl'!M63</f>
        <v>0</v>
      </c>
      <c r="K57" s="98">
        <f>'P&amp;L Detl'!N63</f>
        <v>0</v>
      </c>
      <c r="L57" s="98">
        <f>'P&amp;L Detl'!O63</f>
        <v>0</v>
      </c>
      <c r="M57" s="98">
        <f>'P&amp;L Detl'!P63</f>
        <v>0</v>
      </c>
      <c r="N57" s="98">
        <f>'P&amp;L Detl'!Q63-200</f>
        <v>1732</v>
      </c>
      <c r="O57" s="105">
        <f>SUM(C57:N57)</f>
        <v>1732</v>
      </c>
    </row>
    <row r="58" spans="1:15" x14ac:dyDescent="0.2">
      <c r="A58" s="106" t="s">
        <v>132</v>
      </c>
      <c r="B58" s="271"/>
      <c r="C58" s="98">
        <f>('P&amp;L Detl'!E11+'P&amp;L Detl'!E19)*0.3</f>
        <v>150</v>
      </c>
      <c r="D58" s="98">
        <f>('P&amp;L Detl'!F11+'P&amp;L Detl'!F19)*0.3</f>
        <v>158</v>
      </c>
      <c r="E58" s="98">
        <f>('P&amp;L Detl'!G11+'P&amp;L Detl'!G19)*0.3</f>
        <v>158</v>
      </c>
      <c r="F58" s="98">
        <f>('P&amp;L Detl'!H11+'P&amp;L Detl'!H19)*0.3</f>
        <v>158</v>
      </c>
      <c r="G58" s="98">
        <f>('P&amp;L Detl'!I11+'P&amp;L Detl'!I19)*0.3</f>
        <v>165</v>
      </c>
      <c r="H58" s="98">
        <f>('P&amp;L Detl'!J11+'P&amp;L Detl'!J19)*0.3</f>
        <v>165</v>
      </c>
      <c r="I58" s="98">
        <f>('P&amp;L Detl'!K11+'P&amp;L Detl'!K19)*0.3</f>
        <v>165</v>
      </c>
      <c r="J58" s="98">
        <f>('P&amp;L Detl'!L11+'P&amp;L Detl'!L19)*0.3</f>
        <v>173</v>
      </c>
      <c r="K58" s="98">
        <f>('P&amp;L Detl'!M11+'P&amp;L Detl'!M19)*0.3</f>
        <v>173</v>
      </c>
      <c r="L58" s="98">
        <f>('P&amp;L Detl'!N11+'P&amp;L Detl'!N19)*0.3</f>
        <v>173</v>
      </c>
      <c r="M58" s="98">
        <f>('P&amp;L Detl'!O11+'P&amp;L Detl'!O19)*0.3</f>
        <v>180</v>
      </c>
      <c r="N58" s="98">
        <f>('P&amp;L Detl'!P11+'P&amp;L Detl'!P19)*0.3</f>
        <v>180</v>
      </c>
      <c r="O58" s="105">
        <f>SUM(C58:N58)</f>
        <v>1998</v>
      </c>
    </row>
    <row r="59" spans="1:15" x14ac:dyDescent="0.2">
      <c r="A59" s="106" t="s">
        <v>244</v>
      </c>
      <c r="B59" s="271"/>
      <c r="C59" s="98">
        <v>0</v>
      </c>
      <c r="D59" s="98">
        <v>0</v>
      </c>
      <c r="E59" s="98">
        <v>0</v>
      </c>
      <c r="F59" s="98">
        <v>0</v>
      </c>
      <c r="G59" s="98">
        <v>0</v>
      </c>
      <c r="H59" s="98">
        <v>0</v>
      </c>
      <c r="I59" s="98">
        <v>0</v>
      </c>
      <c r="J59" s="98">
        <v>0</v>
      </c>
      <c r="K59" s="98">
        <f>+C55</f>
        <v>519</v>
      </c>
      <c r="L59" s="98">
        <v>0</v>
      </c>
      <c r="M59" s="98">
        <v>0</v>
      </c>
      <c r="N59" s="98">
        <v>0</v>
      </c>
      <c r="O59" s="105">
        <f>SUM(C59:N59)</f>
        <v>519</v>
      </c>
    </row>
    <row r="60" spans="1:15" ht="13.5" thickBot="1" x14ac:dyDescent="0.25">
      <c r="A60" s="106"/>
      <c r="B60" s="271"/>
      <c r="C60" s="97"/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105"/>
    </row>
    <row r="61" spans="1:15" ht="13.5" thickBot="1" x14ac:dyDescent="0.25">
      <c r="A61" s="108" t="s">
        <v>72</v>
      </c>
      <c r="B61" s="272"/>
      <c r="C61" s="109">
        <f>+C54+C55+C56+C57-C58-C59</f>
        <v>547</v>
      </c>
      <c r="D61" s="109">
        <f t="shared" ref="D61:N61" si="22">+D54+D55+D56+D57-D58-D59</f>
        <v>547</v>
      </c>
      <c r="E61" s="109">
        <f t="shared" si="22"/>
        <v>547</v>
      </c>
      <c r="F61" s="109">
        <f t="shared" si="22"/>
        <v>554</v>
      </c>
      <c r="G61" s="109">
        <f t="shared" si="22"/>
        <v>554</v>
      </c>
      <c r="H61" s="109">
        <f t="shared" si="22"/>
        <v>554</v>
      </c>
      <c r="I61" s="109">
        <f t="shared" si="22"/>
        <v>562</v>
      </c>
      <c r="J61" s="109">
        <f t="shared" si="22"/>
        <v>562</v>
      </c>
      <c r="K61" s="109">
        <f t="shared" si="22"/>
        <v>43</v>
      </c>
      <c r="L61" s="109">
        <f t="shared" si="22"/>
        <v>50</v>
      </c>
      <c r="M61" s="109">
        <f t="shared" si="22"/>
        <v>50</v>
      </c>
      <c r="N61" s="109">
        <f t="shared" si="22"/>
        <v>1782</v>
      </c>
      <c r="O61" s="191">
        <f t="shared" ref="O61" si="23">+O54+O56+O57-O58-O59</f>
        <v>1263</v>
      </c>
    </row>
    <row r="62" spans="1:15" ht="13.5" thickBot="1" x14ac:dyDescent="0.25">
      <c r="A62" s="192"/>
      <c r="B62" s="79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193"/>
    </row>
    <row r="63" spans="1:15" ht="13.5" thickBot="1" x14ac:dyDescent="0.25">
      <c r="A63" s="108" t="s">
        <v>164</v>
      </c>
      <c r="B63" s="272"/>
      <c r="C63" s="109">
        <f>+'BS Detl'!B30</f>
        <v>98</v>
      </c>
      <c r="D63" s="109">
        <f>+C63</f>
        <v>98</v>
      </c>
      <c r="E63" s="109">
        <f t="shared" ref="E63:N63" si="24">+D63</f>
        <v>98</v>
      </c>
      <c r="F63" s="109">
        <f t="shared" si="24"/>
        <v>98</v>
      </c>
      <c r="G63" s="109">
        <f t="shared" si="24"/>
        <v>98</v>
      </c>
      <c r="H63" s="109">
        <f t="shared" si="24"/>
        <v>98</v>
      </c>
      <c r="I63" s="109">
        <f t="shared" si="24"/>
        <v>98</v>
      </c>
      <c r="J63" s="109">
        <f t="shared" si="24"/>
        <v>98</v>
      </c>
      <c r="K63" s="109">
        <f t="shared" si="24"/>
        <v>98</v>
      </c>
      <c r="L63" s="109">
        <f t="shared" si="24"/>
        <v>98</v>
      </c>
      <c r="M63" s="109">
        <f t="shared" si="24"/>
        <v>98</v>
      </c>
      <c r="N63" s="109">
        <f t="shared" si="24"/>
        <v>98</v>
      </c>
      <c r="O63" s="191">
        <f>+O56+O58+O59-O60-O61</f>
        <v>3282</v>
      </c>
    </row>
    <row r="64" spans="1:15" ht="13.5" thickBot="1" x14ac:dyDescent="0.25">
      <c r="A64" s="79"/>
      <c r="B64" s="79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1:15" x14ac:dyDescent="0.2">
      <c r="A65" s="299" t="s">
        <v>0</v>
      </c>
      <c r="B65" s="300"/>
      <c r="C65" s="55">
        <f>+C52</f>
        <v>45307</v>
      </c>
      <c r="D65" s="55">
        <f t="shared" ref="D65:N65" si="25">+D52</f>
        <v>45337</v>
      </c>
      <c r="E65" s="55">
        <f t="shared" si="25"/>
        <v>45367</v>
      </c>
      <c r="F65" s="55">
        <f t="shared" si="25"/>
        <v>45397</v>
      </c>
      <c r="G65" s="55">
        <f t="shared" si="25"/>
        <v>45427</v>
      </c>
      <c r="H65" s="55">
        <f t="shared" si="25"/>
        <v>45457</v>
      </c>
      <c r="I65" s="55">
        <f t="shared" si="25"/>
        <v>45487</v>
      </c>
      <c r="J65" s="55">
        <f t="shared" si="25"/>
        <v>45517</v>
      </c>
      <c r="K65" s="55">
        <f t="shared" si="25"/>
        <v>45547</v>
      </c>
      <c r="L65" s="55">
        <f t="shared" si="25"/>
        <v>45577</v>
      </c>
      <c r="M65" s="55">
        <f t="shared" si="25"/>
        <v>45607</v>
      </c>
      <c r="N65" s="55">
        <f t="shared" si="25"/>
        <v>45637</v>
      </c>
      <c r="O65" s="56" t="s">
        <v>3</v>
      </c>
    </row>
    <row r="66" spans="1:15" x14ac:dyDescent="0.2">
      <c r="A66" s="301"/>
      <c r="B66" s="7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302"/>
    </row>
    <row r="67" spans="1:15" x14ac:dyDescent="0.2">
      <c r="A67" s="110" t="s">
        <v>10</v>
      </c>
      <c r="B67" s="115"/>
      <c r="C67" s="114">
        <f>'BS Detl'!B18</f>
        <v>990</v>
      </c>
      <c r="D67" s="114">
        <f t="shared" ref="D67:N67" si="26">+C70</f>
        <v>990</v>
      </c>
      <c r="E67" s="114">
        <f t="shared" si="26"/>
        <v>0</v>
      </c>
      <c r="F67" s="114">
        <f t="shared" si="26"/>
        <v>0</v>
      </c>
      <c r="G67" s="114">
        <f t="shared" si="26"/>
        <v>0</v>
      </c>
      <c r="H67" s="114">
        <f t="shared" si="26"/>
        <v>0</v>
      </c>
      <c r="I67" s="114">
        <f t="shared" si="26"/>
        <v>0</v>
      </c>
      <c r="J67" s="114">
        <f t="shared" si="26"/>
        <v>0</v>
      </c>
      <c r="K67" s="114">
        <f t="shared" si="26"/>
        <v>0</v>
      </c>
      <c r="L67" s="114">
        <f t="shared" si="26"/>
        <v>0</v>
      </c>
      <c r="M67" s="114">
        <f t="shared" si="26"/>
        <v>0</v>
      </c>
      <c r="N67" s="114">
        <f t="shared" si="26"/>
        <v>0</v>
      </c>
      <c r="O67" s="105">
        <f>C67</f>
        <v>990</v>
      </c>
    </row>
    <row r="68" spans="1:15" x14ac:dyDescent="0.2">
      <c r="A68" s="110" t="s">
        <v>137</v>
      </c>
      <c r="B68" s="115"/>
      <c r="C68" s="97">
        <f>'P&amp;L Detl'!F63</f>
        <v>0</v>
      </c>
      <c r="D68" s="97">
        <f>'P&amp;L Detl'!G63</f>
        <v>0</v>
      </c>
      <c r="E68" s="97">
        <f>'P&amp;L Detl'!H63</f>
        <v>0</v>
      </c>
      <c r="F68" s="97">
        <f>'P&amp;L Detl'!I63</f>
        <v>0</v>
      </c>
      <c r="G68" s="97">
        <f>'P&amp;L Detl'!J63</f>
        <v>0</v>
      </c>
      <c r="H68" s="97"/>
      <c r="I68" s="97">
        <f>'P&amp;L Detl'!L63</f>
        <v>0</v>
      </c>
      <c r="J68" s="97">
        <f>'P&amp;L Detl'!M63</f>
        <v>0</v>
      </c>
      <c r="K68" s="97">
        <f>'P&amp;L Detl'!N63</f>
        <v>0</v>
      </c>
      <c r="L68" s="97">
        <f>'P&amp;L Detl'!O63</f>
        <v>0</v>
      </c>
      <c r="M68" s="97">
        <f>'P&amp;L Detl'!P63</f>
        <v>0</v>
      </c>
      <c r="N68" s="97">
        <f>'P&amp;L Detl'!Q63</f>
        <v>1932</v>
      </c>
      <c r="O68" s="105">
        <f>SUM(C68:N68)</f>
        <v>1932</v>
      </c>
    </row>
    <row r="69" spans="1:15" x14ac:dyDescent="0.2">
      <c r="A69" s="110" t="s">
        <v>138</v>
      </c>
      <c r="B69" s="115"/>
      <c r="C69" s="14"/>
      <c r="D69" s="14">
        <v>990</v>
      </c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05">
        <f>SUM(C69:N69)</f>
        <v>990</v>
      </c>
    </row>
    <row r="70" spans="1:15" ht="13.5" thickBot="1" x14ac:dyDescent="0.25">
      <c r="A70" s="305" t="s">
        <v>12</v>
      </c>
      <c r="B70" s="306"/>
      <c r="C70" s="307">
        <f>+C67+C68-C69</f>
        <v>990</v>
      </c>
      <c r="D70" s="307">
        <f t="shared" ref="D70:O70" si="27">+D67+D68-D69</f>
        <v>0</v>
      </c>
      <c r="E70" s="307">
        <f t="shared" si="27"/>
        <v>0</v>
      </c>
      <c r="F70" s="307">
        <f t="shared" si="27"/>
        <v>0</v>
      </c>
      <c r="G70" s="307">
        <f t="shared" si="27"/>
        <v>0</v>
      </c>
      <c r="H70" s="307">
        <f t="shared" si="27"/>
        <v>0</v>
      </c>
      <c r="I70" s="307">
        <f t="shared" si="27"/>
        <v>0</v>
      </c>
      <c r="J70" s="307">
        <f t="shared" si="27"/>
        <v>0</v>
      </c>
      <c r="K70" s="307">
        <f t="shared" si="27"/>
        <v>0</v>
      </c>
      <c r="L70" s="307">
        <f t="shared" si="27"/>
        <v>0</v>
      </c>
      <c r="M70" s="307">
        <f t="shared" si="27"/>
        <v>0</v>
      </c>
      <c r="N70" s="307">
        <f t="shared" si="27"/>
        <v>1932</v>
      </c>
      <c r="O70" s="309">
        <f t="shared" si="27"/>
        <v>1932</v>
      </c>
    </row>
    <row r="71" spans="1:15" x14ac:dyDescent="0.2">
      <c r="A71" s="194"/>
      <c r="B71" s="195"/>
      <c r="C71" s="195"/>
      <c r="D71" s="195"/>
      <c r="E71" s="195"/>
      <c r="F71" s="195"/>
      <c r="G71" s="195"/>
      <c r="H71" s="195"/>
      <c r="I71" s="195"/>
      <c r="J71" s="195"/>
      <c r="K71" s="195"/>
      <c r="L71" s="195"/>
      <c r="M71" s="195"/>
      <c r="N71" s="195"/>
      <c r="O71" s="196"/>
    </row>
  </sheetData>
  <phoneticPr fontId="7" type="noConversion"/>
  <pageMargins left="0.75" right="0.75" top="0.27" bottom="0.26" header="0.23" footer="0.25"/>
  <pageSetup paperSize="9" scale="71" orientation="landscape" r:id="rId1"/>
  <headerFooter alignWithMargins="0"/>
  <rowBreaks count="1" manualBreakCount="1">
    <brk id="5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N44"/>
  <sheetViews>
    <sheetView showGridLines="0" workbookViewId="0">
      <selection activeCell="E30" sqref="E30"/>
    </sheetView>
  </sheetViews>
  <sheetFormatPr defaultRowHeight="12.75" x14ac:dyDescent="0.2"/>
  <cols>
    <col min="1" max="1" width="15.140625" customWidth="1"/>
    <col min="2" max="2" width="16.7109375" customWidth="1"/>
    <col min="3" max="3" width="11.5703125" customWidth="1"/>
    <col min="4" max="4" width="13" customWidth="1"/>
    <col min="5" max="5" width="12.7109375" customWidth="1"/>
    <col min="6" max="6" width="12.140625" customWidth="1"/>
    <col min="7" max="9" width="11.7109375" bestFit="1" customWidth="1"/>
    <col min="10" max="12" width="12" customWidth="1"/>
    <col min="13" max="13" width="12.140625" style="132" customWidth="1"/>
  </cols>
  <sheetData>
    <row r="2" spans="1:13" s="3" customFormat="1" ht="15.75" x14ac:dyDescent="0.25">
      <c r="A2" s="130" t="s">
        <v>160</v>
      </c>
      <c r="M2" s="131"/>
    </row>
    <row r="4" spans="1:13" ht="13.5" thickBot="1" x14ac:dyDescent="0.25">
      <c r="A4" s="1" t="s">
        <v>139</v>
      </c>
    </row>
    <row r="5" spans="1:13" s="136" customFormat="1" ht="13.5" thickTop="1" x14ac:dyDescent="0.2">
      <c r="A5" s="133" t="s">
        <v>140</v>
      </c>
      <c r="B5" s="134" t="s">
        <v>141</v>
      </c>
      <c r="C5" s="134" t="s">
        <v>142</v>
      </c>
      <c r="D5" s="134" t="s">
        <v>60</v>
      </c>
      <c r="E5" s="134" t="s">
        <v>143</v>
      </c>
      <c r="F5" s="134" t="s">
        <v>144</v>
      </c>
      <c r="G5" s="134" t="s">
        <v>144</v>
      </c>
      <c r="H5" s="134" t="s">
        <v>144</v>
      </c>
      <c r="I5" s="134" t="s">
        <v>144</v>
      </c>
      <c r="J5" s="134" t="s">
        <v>144</v>
      </c>
      <c r="K5" s="134" t="s">
        <v>144</v>
      </c>
      <c r="L5" s="134" t="s">
        <v>144</v>
      </c>
      <c r="M5" s="135" t="s">
        <v>145</v>
      </c>
    </row>
    <row r="6" spans="1:13" s="136" customFormat="1" x14ac:dyDescent="0.2">
      <c r="A6" s="137" t="s">
        <v>146</v>
      </c>
      <c r="B6" s="138"/>
      <c r="C6" s="139" t="s">
        <v>147</v>
      </c>
      <c r="D6" s="138" t="s">
        <v>148</v>
      </c>
      <c r="E6" s="138"/>
      <c r="F6" s="8" t="s">
        <v>149</v>
      </c>
      <c r="G6" s="8" t="s">
        <v>150</v>
      </c>
      <c r="H6" s="8" t="s">
        <v>151</v>
      </c>
      <c r="I6" s="8" t="s">
        <v>152</v>
      </c>
      <c r="J6" s="8" t="s">
        <v>153</v>
      </c>
      <c r="K6" s="8" t="s">
        <v>154</v>
      </c>
      <c r="L6" s="8" t="s">
        <v>155</v>
      </c>
      <c r="M6" s="140"/>
    </row>
    <row r="7" spans="1:13" s="144" customFormat="1" x14ac:dyDescent="0.2">
      <c r="A7" s="141"/>
      <c r="B7" s="142"/>
      <c r="C7" s="142"/>
      <c r="D7" s="142"/>
      <c r="E7" s="142">
        <f t="shared" ref="E7:E15" si="0">+C7-D7</f>
        <v>0</v>
      </c>
      <c r="F7" s="142"/>
      <c r="G7" s="142"/>
      <c r="H7" s="142"/>
      <c r="I7" s="142"/>
      <c r="J7" s="142"/>
      <c r="K7" s="142"/>
      <c r="L7" s="142"/>
      <c r="M7" s="143"/>
    </row>
    <row r="8" spans="1:13" s="144" customFormat="1" x14ac:dyDescent="0.2">
      <c r="A8" s="141"/>
      <c r="B8" s="142"/>
      <c r="C8" s="142"/>
      <c r="D8" s="142"/>
      <c r="E8" s="142">
        <f t="shared" si="0"/>
        <v>0</v>
      </c>
      <c r="F8" s="142"/>
      <c r="G8" s="142"/>
      <c r="H8" s="142"/>
      <c r="I8" s="142"/>
      <c r="J8" s="142"/>
      <c r="K8" s="142"/>
      <c r="L8" s="142"/>
      <c r="M8" s="143"/>
    </row>
    <row r="9" spans="1:13" s="144" customFormat="1" x14ac:dyDescent="0.2">
      <c r="A9" s="141"/>
      <c r="B9" s="142"/>
      <c r="C9" s="142"/>
      <c r="D9" s="142"/>
      <c r="E9" s="142">
        <f t="shared" si="0"/>
        <v>0</v>
      </c>
      <c r="F9" s="142"/>
      <c r="G9" s="142"/>
      <c r="H9" s="142"/>
      <c r="I9" s="142"/>
      <c r="J9" s="142"/>
      <c r="K9" s="142"/>
      <c r="L9" s="142"/>
      <c r="M9" s="143"/>
    </row>
    <row r="10" spans="1:13" s="144" customFormat="1" ht="12" customHeight="1" x14ac:dyDescent="0.2">
      <c r="A10" s="141"/>
      <c r="B10" s="142"/>
      <c r="C10" s="142"/>
      <c r="D10" s="142"/>
      <c r="E10" s="142">
        <f t="shared" si="0"/>
        <v>0</v>
      </c>
      <c r="F10" s="142"/>
      <c r="G10" s="142"/>
      <c r="H10" s="142"/>
      <c r="I10" s="142"/>
      <c r="J10" s="142"/>
      <c r="K10" s="142"/>
      <c r="L10" s="142"/>
      <c r="M10" s="143"/>
    </row>
    <row r="11" spans="1:13" s="144" customFormat="1" ht="12" customHeight="1" x14ac:dyDescent="0.2">
      <c r="A11" s="141"/>
      <c r="B11" s="142"/>
      <c r="C11" s="142"/>
      <c r="D11" s="142"/>
      <c r="E11" s="142">
        <f t="shared" si="0"/>
        <v>0</v>
      </c>
      <c r="F11" s="142"/>
      <c r="G11" s="142"/>
      <c r="H11" s="142"/>
      <c r="I11" s="142"/>
      <c r="J11" s="142"/>
      <c r="K11" s="142"/>
      <c r="L11" s="142"/>
      <c r="M11" s="143"/>
    </row>
    <row r="12" spans="1:13" s="144" customFormat="1" x14ac:dyDescent="0.2">
      <c r="A12" s="141"/>
      <c r="B12" s="142"/>
      <c r="C12" s="142"/>
      <c r="D12" s="142"/>
      <c r="E12" s="142">
        <f t="shared" si="0"/>
        <v>0</v>
      </c>
      <c r="F12" s="142"/>
      <c r="G12" s="142"/>
      <c r="H12" s="142"/>
      <c r="I12" s="142"/>
      <c r="J12" s="142"/>
      <c r="K12" s="142"/>
      <c r="L12" s="142"/>
      <c r="M12" s="143"/>
    </row>
    <row r="13" spans="1:13" s="144" customFormat="1" ht="12" customHeight="1" x14ac:dyDescent="0.2">
      <c r="A13" s="141"/>
      <c r="B13" s="142"/>
      <c r="C13" s="142"/>
      <c r="D13" s="142"/>
      <c r="E13" s="142">
        <f t="shared" si="0"/>
        <v>0</v>
      </c>
      <c r="F13" s="142"/>
      <c r="G13" s="142"/>
      <c r="H13" s="142"/>
      <c r="I13" s="142"/>
      <c r="J13" s="142"/>
      <c r="K13" s="142"/>
      <c r="L13" s="142"/>
      <c r="M13" s="143">
        <f>SUM(F13:L13)</f>
        <v>0</v>
      </c>
    </row>
    <row r="14" spans="1:13" s="144" customFormat="1" ht="12" customHeight="1" x14ac:dyDescent="0.2">
      <c r="A14" s="141"/>
      <c r="B14" s="142"/>
      <c r="C14" s="142"/>
      <c r="D14" s="142"/>
      <c r="E14" s="142">
        <f t="shared" si="0"/>
        <v>0</v>
      </c>
      <c r="F14" s="142"/>
      <c r="G14" s="142"/>
      <c r="H14" s="142"/>
      <c r="I14" s="142"/>
      <c r="J14" s="142"/>
      <c r="K14" s="142"/>
      <c r="L14" s="142"/>
      <c r="M14" s="143">
        <f>SUM(F14:L14)</f>
        <v>0</v>
      </c>
    </row>
    <row r="15" spans="1:13" s="144" customFormat="1" ht="12" customHeight="1" x14ac:dyDescent="0.2">
      <c r="A15" s="141"/>
      <c r="B15" s="142"/>
      <c r="C15" s="142"/>
      <c r="D15" s="142"/>
      <c r="E15" s="142">
        <f t="shared" si="0"/>
        <v>0</v>
      </c>
      <c r="F15" s="142"/>
      <c r="G15" s="142"/>
      <c r="H15" s="142"/>
      <c r="I15" s="142"/>
      <c r="J15" s="142"/>
      <c r="K15" s="142"/>
      <c r="L15" s="142"/>
      <c r="M15" s="143">
        <f>SUM(F15:L15)</f>
        <v>0</v>
      </c>
    </row>
    <row r="16" spans="1:13" s="136" customFormat="1" x14ac:dyDescent="0.2">
      <c r="A16" s="146" t="s">
        <v>156</v>
      </c>
      <c r="B16" s="147"/>
      <c r="C16" s="147">
        <f>SUM(C7:C15)</f>
        <v>0</v>
      </c>
      <c r="D16" s="147">
        <f>SUM(D7:D15)</f>
        <v>0</v>
      </c>
      <c r="E16" s="147">
        <f t="shared" ref="E16:L16" si="1">SUM(E13:E15)</f>
        <v>0</v>
      </c>
      <c r="F16" s="147">
        <f t="shared" si="1"/>
        <v>0</v>
      </c>
      <c r="G16" s="147">
        <f t="shared" si="1"/>
        <v>0</v>
      </c>
      <c r="H16" s="147">
        <f t="shared" si="1"/>
        <v>0</v>
      </c>
      <c r="I16" s="147">
        <f t="shared" si="1"/>
        <v>0</v>
      </c>
      <c r="J16" s="147">
        <f t="shared" si="1"/>
        <v>0</v>
      </c>
      <c r="K16" s="147">
        <f t="shared" si="1"/>
        <v>0</v>
      </c>
      <c r="L16" s="147">
        <f t="shared" si="1"/>
        <v>0</v>
      </c>
      <c r="M16" s="148">
        <f>SUM(M7:M15)</f>
        <v>0</v>
      </c>
    </row>
    <row r="17" spans="1:13" x14ac:dyDescent="0.2">
      <c r="A17" s="13"/>
      <c r="F17" s="149"/>
      <c r="G17" s="149"/>
      <c r="K17" s="144"/>
      <c r="L17" s="144"/>
      <c r="M17" s="143"/>
    </row>
    <row r="18" spans="1:13" s="144" customFormat="1" x14ac:dyDescent="0.2">
      <c r="A18" s="141"/>
      <c r="B18" s="142"/>
      <c r="C18" s="142"/>
      <c r="D18" s="142"/>
      <c r="E18" s="142">
        <f>+C18-D18</f>
        <v>0</v>
      </c>
      <c r="F18" s="142"/>
      <c r="G18" s="142"/>
      <c r="H18" s="142"/>
      <c r="I18" s="142"/>
      <c r="J18" s="142"/>
      <c r="K18" s="142"/>
      <c r="L18" s="142"/>
      <c r="M18" s="143"/>
    </row>
    <row r="19" spans="1:13" s="144" customFormat="1" x14ac:dyDescent="0.2">
      <c r="A19" s="141"/>
      <c r="B19" s="142"/>
      <c r="C19" s="142"/>
      <c r="D19" s="142"/>
      <c r="E19" s="142">
        <f>+C19-D19</f>
        <v>0</v>
      </c>
      <c r="F19" s="142"/>
      <c r="G19" s="142"/>
      <c r="H19" s="142"/>
      <c r="I19" s="142"/>
      <c r="J19" s="142"/>
      <c r="K19" s="142"/>
      <c r="L19" s="142"/>
      <c r="M19" s="143"/>
    </row>
    <row r="20" spans="1:13" s="144" customFormat="1" x14ac:dyDescent="0.2">
      <c r="A20" s="141"/>
      <c r="B20" s="142"/>
      <c r="C20" s="142"/>
      <c r="D20" s="142"/>
      <c r="E20" s="142">
        <f>+C20-D20</f>
        <v>0</v>
      </c>
      <c r="F20" s="142"/>
      <c r="G20" s="142"/>
      <c r="H20" s="142"/>
      <c r="I20" s="142"/>
      <c r="J20" s="142"/>
      <c r="K20" s="142"/>
      <c r="L20" s="142"/>
      <c r="M20" s="143"/>
    </row>
    <row r="21" spans="1:13" s="136" customFormat="1" x14ac:dyDescent="0.2">
      <c r="A21" s="146" t="s">
        <v>157</v>
      </c>
      <c r="B21" s="147"/>
      <c r="C21" s="147">
        <f>SUM(C18:C20)</f>
        <v>0</v>
      </c>
      <c r="D21" s="147">
        <f>SUM(D18:D20)</f>
        <v>0</v>
      </c>
      <c r="E21" s="147">
        <f t="shared" ref="E21:L21" si="2">+E20</f>
        <v>0</v>
      </c>
      <c r="F21" s="147">
        <f t="shared" si="2"/>
        <v>0</v>
      </c>
      <c r="G21" s="147">
        <f t="shared" si="2"/>
        <v>0</v>
      </c>
      <c r="H21" s="147">
        <f t="shared" si="2"/>
        <v>0</v>
      </c>
      <c r="I21" s="147">
        <f t="shared" si="2"/>
        <v>0</v>
      </c>
      <c r="J21" s="147">
        <f t="shared" si="2"/>
        <v>0</v>
      </c>
      <c r="K21" s="147">
        <f t="shared" si="2"/>
        <v>0</v>
      </c>
      <c r="L21" s="147">
        <f t="shared" si="2"/>
        <v>0</v>
      </c>
      <c r="M21" s="148">
        <f>SUM(M18:M18)</f>
        <v>0</v>
      </c>
    </row>
    <row r="22" spans="1:13" x14ac:dyDescent="0.2">
      <c r="A22" s="13"/>
      <c r="F22" s="149"/>
      <c r="G22" s="149"/>
      <c r="M22" s="150"/>
    </row>
    <row r="23" spans="1:13" s="136" customFormat="1" x14ac:dyDescent="0.2">
      <c r="A23" s="146" t="s">
        <v>157</v>
      </c>
      <c r="B23" s="147"/>
      <c r="C23" s="147">
        <f t="shared" ref="C23:M23" si="3">+C16+C21</f>
        <v>0</v>
      </c>
      <c r="D23" s="147">
        <f t="shared" si="3"/>
        <v>0</v>
      </c>
      <c r="E23" s="147">
        <f t="shared" si="3"/>
        <v>0</v>
      </c>
      <c r="F23" s="147">
        <f t="shared" si="3"/>
        <v>0</v>
      </c>
      <c r="G23" s="147">
        <f t="shared" si="3"/>
        <v>0</v>
      </c>
      <c r="H23" s="147">
        <f t="shared" si="3"/>
        <v>0</v>
      </c>
      <c r="I23" s="147">
        <f t="shared" si="3"/>
        <v>0</v>
      </c>
      <c r="J23" s="147">
        <f t="shared" si="3"/>
        <v>0</v>
      </c>
      <c r="K23" s="147">
        <f t="shared" si="3"/>
        <v>0</v>
      </c>
      <c r="L23" s="147">
        <f t="shared" si="3"/>
        <v>0</v>
      </c>
      <c r="M23" s="147">
        <f t="shared" si="3"/>
        <v>0</v>
      </c>
    </row>
    <row r="24" spans="1:13" x14ac:dyDescent="0.2">
      <c r="A24" s="13"/>
      <c r="F24" s="149"/>
      <c r="G24" s="149"/>
      <c r="M24" s="150"/>
    </row>
    <row r="25" spans="1:13" s="136" customFormat="1" ht="13.5" thickBot="1" x14ac:dyDescent="0.25">
      <c r="A25" s="151" t="s">
        <v>143</v>
      </c>
      <c r="B25" s="152"/>
      <c r="C25" s="152">
        <f>+C16+C21</f>
        <v>0</v>
      </c>
      <c r="D25" s="152">
        <f>+C25-D23</f>
        <v>0</v>
      </c>
      <c r="E25" s="152">
        <f>+E16+E21</f>
        <v>0</v>
      </c>
      <c r="F25" s="152">
        <f t="shared" ref="F25:L25" si="4">+E25-F23</f>
        <v>0</v>
      </c>
      <c r="G25" s="152">
        <f t="shared" si="4"/>
        <v>0</v>
      </c>
      <c r="H25" s="152">
        <f t="shared" si="4"/>
        <v>0</v>
      </c>
      <c r="I25" s="152">
        <f t="shared" si="4"/>
        <v>0</v>
      </c>
      <c r="J25" s="152">
        <f t="shared" si="4"/>
        <v>0</v>
      </c>
      <c r="K25" s="152">
        <f t="shared" si="4"/>
        <v>0</v>
      </c>
      <c r="L25" s="152">
        <f t="shared" si="4"/>
        <v>0</v>
      </c>
      <c r="M25" s="153">
        <f>+M16+M21</f>
        <v>0</v>
      </c>
    </row>
    <row r="26" spans="1:13" ht="13.5" thickTop="1" x14ac:dyDescent="0.2">
      <c r="E26" s="144"/>
      <c r="M26" s="149">
        <f>SUM(F25:L25)-E25</f>
        <v>0</v>
      </c>
    </row>
    <row r="27" spans="1:13" x14ac:dyDescent="0.2">
      <c r="F27">
        <f>(+E25-(0.5*F25))*0.075</f>
        <v>0</v>
      </c>
    </row>
    <row r="29" spans="1:13" x14ac:dyDescent="0.2">
      <c r="A29" s="6"/>
      <c r="B29" s="2"/>
      <c r="C29" s="2"/>
      <c r="D29" s="2"/>
      <c r="E29" s="2"/>
      <c r="F29" s="6"/>
      <c r="G29" s="6"/>
      <c r="H29" s="6"/>
      <c r="I29" s="6"/>
      <c r="J29" s="6"/>
      <c r="K29" s="6"/>
      <c r="L29" s="6"/>
      <c r="M29" s="6"/>
    </row>
    <row r="30" spans="1:13" x14ac:dyDescent="0.2">
      <c r="A30" s="6" t="s">
        <v>139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6"/>
    </row>
    <row r="31" spans="1:13" x14ac:dyDescent="0.2">
      <c r="A31" s="6" t="s">
        <v>158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6">
        <f>+M29-M30</f>
        <v>0</v>
      </c>
    </row>
    <row r="32" spans="1:13" x14ac:dyDescent="0.2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6"/>
    </row>
    <row r="33" spans="1:14" x14ac:dyDescent="0.2">
      <c r="A33" s="6" t="s">
        <v>159</v>
      </c>
      <c r="B33" s="2"/>
      <c r="C33" s="2"/>
      <c r="D33" s="2"/>
      <c r="E33" s="154" t="s">
        <v>139</v>
      </c>
      <c r="L33" s="2"/>
      <c r="M33" s="6"/>
      <c r="N33" s="2"/>
    </row>
    <row r="34" spans="1:14" x14ac:dyDescent="0.2">
      <c r="A34" s="2"/>
      <c r="B34" s="2"/>
      <c r="C34" s="2"/>
      <c r="D34" s="2"/>
      <c r="E34" s="154" t="s">
        <v>158</v>
      </c>
      <c r="F34" s="2"/>
      <c r="G34" s="2"/>
      <c r="H34" s="2"/>
      <c r="I34" s="2"/>
      <c r="J34" s="2"/>
      <c r="K34" s="2"/>
      <c r="L34" s="2"/>
      <c r="M34" s="6" t="e">
        <f>M31*M33/M30</f>
        <v>#DIV/0!</v>
      </c>
      <c r="N34" s="2"/>
    </row>
    <row r="35" spans="1:14" x14ac:dyDescent="0.2">
      <c r="E35" s="79" t="s">
        <v>3</v>
      </c>
      <c r="F35" s="6" t="e">
        <f t="shared" ref="F35:K35" si="5">F29*$M$33/$M$30</f>
        <v>#DIV/0!</v>
      </c>
      <c r="G35" s="6" t="e">
        <f t="shared" si="5"/>
        <v>#DIV/0!</v>
      </c>
      <c r="H35" s="6" t="e">
        <f t="shared" si="5"/>
        <v>#DIV/0!</v>
      </c>
      <c r="I35" s="6" t="e">
        <f t="shared" si="5"/>
        <v>#DIV/0!</v>
      </c>
      <c r="J35" s="6" t="e">
        <f t="shared" si="5"/>
        <v>#DIV/0!</v>
      </c>
      <c r="K35" s="6" t="e">
        <f t="shared" si="5"/>
        <v>#DIV/0!</v>
      </c>
      <c r="M35" s="6" t="e">
        <f>+M33+M34</f>
        <v>#DIV/0!</v>
      </c>
      <c r="N35" s="2" t="e">
        <f>+M35-SUM(F35:L35)</f>
        <v>#DIV/0!</v>
      </c>
    </row>
    <row r="36" spans="1:14" x14ac:dyDescent="0.2">
      <c r="M36" s="6"/>
    </row>
    <row r="37" spans="1:14" x14ac:dyDescent="0.2">
      <c r="M37" s="6"/>
    </row>
    <row r="38" spans="1:14" x14ac:dyDescent="0.2">
      <c r="M38" s="6"/>
    </row>
    <row r="39" spans="1:14" x14ac:dyDescent="0.2">
      <c r="M39" s="6"/>
    </row>
    <row r="40" spans="1:14" x14ac:dyDescent="0.2">
      <c r="M40" s="6"/>
    </row>
    <row r="41" spans="1:14" x14ac:dyDescent="0.2">
      <c r="M41" s="6"/>
    </row>
    <row r="42" spans="1:14" x14ac:dyDescent="0.2">
      <c r="M42" s="6"/>
    </row>
    <row r="43" spans="1:14" x14ac:dyDescent="0.2">
      <c r="M43" s="6"/>
    </row>
    <row r="44" spans="1:14" x14ac:dyDescent="0.2">
      <c r="M44" s="6"/>
    </row>
  </sheetData>
  <phoneticPr fontId="0" type="noConversion"/>
  <pageMargins left="0.87" right="0.25" top="0.49" bottom="0.6" header="0.5" footer="0.5"/>
  <pageSetup paperSize="9" scale="78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65"/>
  <sheetViews>
    <sheetView showGridLines="0" topLeftCell="A31" workbookViewId="0">
      <selection activeCell="G56" sqref="G56"/>
    </sheetView>
  </sheetViews>
  <sheetFormatPr defaultRowHeight="12.75" x14ac:dyDescent="0.2"/>
  <cols>
    <col min="1" max="1" width="29.85546875" customWidth="1"/>
    <col min="2" max="2" width="12" customWidth="1"/>
    <col min="3" max="3" width="11.42578125" customWidth="1"/>
    <col min="4" max="4" width="10.85546875" customWidth="1"/>
    <col min="5" max="5" width="10.7109375" customWidth="1"/>
    <col min="13" max="13" width="10.140625" customWidth="1"/>
    <col min="14" max="14" width="14.85546875" style="1" customWidth="1"/>
  </cols>
  <sheetData>
    <row r="1" spans="1:14" ht="15.75" x14ac:dyDescent="0.25">
      <c r="A1" s="3" t="s">
        <v>58</v>
      </c>
    </row>
    <row r="2" spans="1:14" ht="13.5" thickBot="1" x14ac:dyDescent="0.25"/>
    <row r="3" spans="1:14" ht="13.5" thickTop="1" x14ac:dyDescent="0.2">
      <c r="A3" s="10"/>
      <c r="B3" s="11">
        <v>38457</v>
      </c>
      <c r="C3" s="11">
        <f>B3+30</f>
        <v>38487</v>
      </c>
      <c r="D3" s="11">
        <f t="shared" ref="D3:M3" si="0">C3+30</f>
        <v>38517</v>
      </c>
      <c r="E3" s="11">
        <f t="shared" si="0"/>
        <v>38547</v>
      </c>
      <c r="F3" s="11">
        <f t="shared" si="0"/>
        <v>38577</v>
      </c>
      <c r="G3" s="11">
        <f t="shared" si="0"/>
        <v>38607</v>
      </c>
      <c r="H3" s="11">
        <f t="shared" si="0"/>
        <v>38637</v>
      </c>
      <c r="I3" s="11">
        <f t="shared" si="0"/>
        <v>38667</v>
      </c>
      <c r="J3" s="11">
        <f t="shared" si="0"/>
        <v>38697</v>
      </c>
      <c r="K3" s="11">
        <f t="shared" si="0"/>
        <v>38727</v>
      </c>
      <c r="L3" s="11">
        <f t="shared" si="0"/>
        <v>38757</v>
      </c>
      <c r="M3" s="11">
        <f t="shared" si="0"/>
        <v>38787</v>
      </c>
      <c r="N3" s="12" t="s">
        <v>3</v>
      </c>
    </row>
    <row r="4" spans="1:14" x14ac:dyDescent="0.2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5"/>
    </row>
    <row r="5" spans="1:14" x14ac:dyDescent="0.2">
      <c r="A5" s="13" t="s">
        <v>13</v>
      </c>
      <c r="B5" s="14">
        <v>704000</v>
      </c>
      <c r="C5" s="14">
        <v>710000</v>
      </c>
      <c r="D5" s="14">
        <v>700000</v>
      </c>
      <c r="E5" s="14">
        <v>720000</v>
      </c>
      <c r="F5" s="14">
        <v>720000</v>
      </c>
      <c r="G5" s="14">
        <v>900000</v>
      </c>
      <c r="H5" s="14">
        <v>950000</v>
      </c>
      <c r="I5" s="14">
        <v>900000</v>
      </c>
      <c r="J5" s="14">
        <v>800000</v>
      </c>
      <c r="K5" s="14">
        <v>700000</v>
      </c>
      <c r="L5" s="14">
        <v>700000</v>
      </c>
      <c r="M5" s="14">
        <v>700000</v>
      </c>
      <c r="N5" s="16">
        <f>SUM(B5:M5)</f>
        <v>9204000</v>
      </c>
    </row>
    <row r="6" spans="1:14" ht="13.5" thickBot="1" x14ac:dyDescent="0.25">
      <c r="A6" s="13" t="s">
        <v>14</v>
      </c>
      <c r="B6" s="14">
        <v>-15604</v>
      </c>
      <c r="C6" s="14">
        <v>-15737</v>
      </c>
      <c r="D6" s="14">
        <v>-15515</v>
      </c>
      <c r="E6" s="14">
        <v>-15958</v>
      </c>
      <c r="F6" s="14">
        <v>-15958</v>
      </c>
      <c r="G6" s="14">
        <v>-19948</v>
      </c>
      <c r="H6" s="14">
        <v>-21056</v>
      </c>
      <c r="I6" s="14">
        <v>-19948</v>
      </c>
      <c r="J6" s="14">
        <v>-17731</v>
      </c>
      <c r="K6" s="14">
        <v>-15515</v>
      </c>
      <c r="L6" s="14">
        <v>-15515</v>
      </c>
      <c r="M6" s="14">
        <v>-15515</v>
      </c>
      <c r="N6" s="16">
        <f>SUM(B6:M6)</f>
        <v>-204000</v>
      </c>
    </row>
    <row r="7" spans="1:14" s="1" customFormat="1" ht="13.5" thickBot="1" x14ac:dyDescent="0.25">
      <c r="A7" s="17" t="s">
        <v>15</v>
      </c>
      <c r="B7" s="18">
        <f t="shared" ref="B7:M7" si="1">SUM(B5:B6)</f>
        <v>688396</v>
      </c>
      <c r="C7" s="18">
        <f t="shared" si="1"/>
        <v>694263</v>
      </c>
      <c r="D7" s="18">
        <f t="shared" si="1"/>
        <v>684485</v>
      </c>
      <c r="E7" s="18">
        <f t="shared" si="1"/>
        <v>704042</v>
      </c>
      <c r="F7" s="18">
        <f t="shared" si="1"/>
        <v>704042</v>
      </c>
      <c r="G7" s="18">
        <f t="shared" si="1"/>
        <v>880052</v>
      </c>
      <c r="H7" s="18">
        <f t="shared" si="1"/>
        <v>928944</v>
      </c>
      <c r="I7" s="18">
        <f t="shared" si="1"/>
        <v>880052</v>
      </c>
      <c r="J7" s="18">
        <f t="shared" si="1"/>
        <v>782269</v>
      </c>
      <c r="K7" s="18">
        <f t="shared" si="1"/>
        <v>684485</v>
      </c>
      <c r="L7" s="18">
        <f t="shared" si="1"/>
        <v>684485</v>
      </c>
      <c r="M7" s="18">
        <f t="shared" si="1"/>
        <v>684485</v>
      </c>
      <c r="N7" s="19">
        <f>SUM(B7:M7)</f>
        <v>9000000</v>
      </c>
    </row>
    <row r="8" spans="1:14" ht="5.25" customHeight="1" x14ac:dyDescent="0.2">
      <c r="A8" s="13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6"/>
    </row>
    <row r="9" spans="1:14" s="1" customFormat="1" x14ac:dyDescent="0.2">
      <c r="A9" s="20" t="s">
        <v>16</v>
      </c>
      <c r="B9" s="21">
        <f>ROUND(B7*0.42933,0)</f>
        <v>295549</v>
      </c>
      <c r="C9" s="21">
        <f t="shared" ref="C9:I9" si="2">ROUND(C7*0.42933,0)</f>
        <v>298068</v>
      </c>
      <c r="D9" s="21">
        <f t="shared" si="2"/>
        <v>293870</v>
      </c>
      <c r="E9" s="21">
        <f t="shared" si="2"/>
        <v>302266</v>
      </c>
      <c r="F9" s="21">
        <f t="shared" si="2"/>
        <v>302266</v>
      </c>
      <c r="G9" s="21">
        <f t="shared" si="2"/>
        <v>377833</v>
      </c>
      <c r="H9" s="21">
        <f t="shared" si="2"/>
        <v>398824</v>
      </c>
      <c r="I9" s="21">
        <f t="shared" si="2"/>
        <v>377833</v>
      </c>
      <c r="J9" s="21">
        <f>ROUND(J7*0.42934,0)+1</f>
        <v>335860</v>
      </c>
      <c r="K9" s="21">
        <f>ROUND(K7*0.42934,0)</f>
        <v>293877</v>
      </c>
      <c r="L9" s="21">
        <f>ROUND(L7*0.42934,0)</f>
        <v>293877</v>
      </c>
      <c r="M9" s="21">
        <f>ROUND(M7*0.42934,0)</f>
        <v>293877</v>
      </c>
      <c r="N9" s="16">
        <f>SUM(B9:M9)</f>
        <v>3864000</v>
      </c>
    </row>
    <row r="10" spans="1:14" s="48" customFormat="1" ht="11.25" x14ac:dyDescent="0.2">
      <c r="A10" s="45" t="s">
        <v>17</v>
      </c>
      <c r="B10" s="46">
        <f>IF(ISERR(B9/B7),0,B9/B7)</f>
        <v>0.42899999999999999</v>
      </c>
      <c r="C10" s="46">
        <f>IF(ISERR(C9/C7),0,C9/C7)</f>
        <v>0.42899999999999999</v>
      </c>
      <c r="D10" s="46">
        <f>IF(ISERR(D9/D7),0,D9/D7)</f>
        <v>0.42899999999999999</v>
      </c>
      <c r="E10" s="46">
        <f>IF(ISERR(E9/E7),0,E9/E7)</f>
        <v>0.42899999999999999</v>
      </c>
      <c r="F10" s="46">
        <f t="shared" ref="F10:M10" si="3">IF(ISERR(F9/F7),0,F9/F7)</f>
        <v>0.42899999999999999</v>
      </c>
      <c r="G10" s="46">
        <f t="shared" si="3"/>
        <v>0.42899999999999999</v>
      </c>
      <c r="H10" s="46">
        <f t="shared" si="3"/>
        <v>0.42899999999999999</v>
      </c>
      <c r="I10" s="46">
        <f t="shared" si="3"/>
        <v>0.42899999999999999</v>
      </c>
      <c r="J10" s="46">
        <f t="shared" si="3"/>
        <v>0.42899999999999999</v>
      </c>
      <c r="K10" s="46">
        <f t="shared" si="3"/>
        <v>0.42899999999999999</v>
      </c>
      <c r="L10" s="46">
        <f t="shared" si="3"/>
        <v>0.42899999999999999</v>
      </c>
      <c r="M10" s="46">
        <f t="shared" si="3"/>
        <v>0.42899999999999999</v>
      </c>
      <c r="N10" s="47">
        <f>N9/N7</f>
        <v>0.42899999999999999</v>
      </c>
    </row>
    <row r="11" spans="1:14" x14ac:dyDescent="0.2">
      <c r="A11" s="13" t="s">
        <v>18</v>
      </c>
      <c r="B11" s="14">
        <f>ROUND(B7*0.22144444,0)</f>
        <v>152441</v>
      </c>
      <c r="C11" s="14">
        <f t="shared" ref="C11:L11" si="4">ROUND(C7*0.22144444,0)</f>
        <v>153741</v>
      </c>
      <c r="D11" s="14">
        <f t="shared" si="4"/>
        <v>151575</v>
      </c>
      <c r="E11" s="14">
        <f t="shared" si="4"/>
        <v>155906</v>
      </c>
      <c r="F11" s="14">
        <f t="shared" si="4"/>
        <v>155906</v>
      </c>
      <c r="G11" s="14">
        <f t="shared" si="4"/>
        <v>194883</v>
      </c>
      <c r="H11" s="14">
        <f t="shared" si="4"/>
        <v>205709</v>
      </c>
      <c r="I11" s="14">
        <f t="shared" si="4"/>
        <v>194883</v>
      </c>
      <c r="J11" s="14">
        <f t="shared" si="4"/>
        <v>173229</v>
      </c>
      <c r="K11" s="14">
        <f t="shared" si="4"/>
        <v>151575</v>
      </c>
      <c r="L11" s="14">
        <f t="shared" si="4"/>
        <v>151575</v>
      </c>
      <c r="M11" s="14">
        <v>151577</v>
      </c>
      <c r="N11" s="16">
        <f>SUM(B11:M11)</f>
        <v>1993000</v>
      </c>
    </row>
    <row r="12" spans="1:14" x14ac:dyDescent="0.2">
      <c r="A12" s="13" t="s">
        <v>19</v>
      </c>
      <c r="B12" s="14">
        <v>2416</v>
      </c>
      <c r="C12" s="14">
        <v>2416</v>
      </c>
      <c r="D12" s="14">
        <v>2416</v>
      </c>
      <c r="E12" s="14">
        <v>2416</v>
      </c>
      <c r="F12" s="14">
        <v>2417</v>
      </c>
      <c r="G12" s="14">
        <v>2417</v>
      </c>
      <c r="H12" s="14">
        <v>2417</v>
      </c>
      <c r="I12" s="14">
        <v>2417</v>
      </c>
      <c r="J12" s="14">
        <v>2417</v>
      </c>
      <c r="K12" s="14">
        <v>2417</v>
      </c>
      <c r="L12" s="14">
        <v>2417</v>
      </c>
      <c r="M12" s="14">
        <v>2417</v>
      </c>
      <c r="N12" s="16">
        <f>SUM(B12:M12)</f>
        <v>29000</v>
      </c>
    </row>
    <row r="13" spans="1:14" s="1" customFormat="1" x14ac:dyDescent="0.2">
      <c r="A13" s="20" t="s">
        <v>20</v>
      </c>
      <c r="B13" s="21">
        <f t="shared" ref="B13:M13" si="5">SUM(B11:B12)</f>
        <v>154857</v>
      </c>
      <c r="C13" s="21">
        <f t="shared" si="5"/>
        <v>156157</v>
      </c>
      <c r="D13" s="21">
        <f t="shared" si="5"/>
        <v>153991</v>
      </c>
      <c r="E13" s="21">
        <f t="shared" si="5"/>
        <v>158322</v>
      </c>
      <c r="F13" s="21">
        <f t="shared" si="5"/>
        <v>158323</v>
      </c>
      <c r="G13" s="21">
        <f t="shared" si="5"/>
        <v>197300</v>
      </c>
      <c r="H13" s="21">
        <f t="shared" si="5"/>
        <v>208126</v>
      </c>
      <c r="I13" s="21">
        <f t="shared" si="5"/>
        <v>197300</v>
      </c>
      <c r="J13" s="21">
        <f t="shared" si="5"/>
        <v>175646</v>
      </c>
      <c r="K13" s="21">
        <f t="shared" si="5"/>
        <v>153992</v>
      </c>
      <c r="L13" s="21">
        <f t="shared" si="5"/>
        <v>153992</v>
      </c>
      <c r="M13" s="21">
        <f t="shared" si="5"/>
        <v>153994</v>
      </c>
      <c r="N13" s="16">
        <f>SUM(B13:M13)</f>
        <v>2022000</v>
      </c>
    </row>
    <row r="14" spans="1:14" s="48" customFormat="1" ht="12" thickBot="1" x14ac:dyDescent="0.25">
      <c r="A14" s="45" t="s">
        <v>21</v>
      </c>
      <c r="B14" s="46">
        <f t="shared" ref="B14:M14" si="6">IF(ISERR(SUM(B11:B12)/B7),0,SUM(B11:B12)/B7)</f>
        <v>0.22500000000000001</v>
      </c>
      <c r="C14" s="46">
        <f t="shared" si="6"/>
        <v>0.22500000000000001</v>
      </c>
      <c r="D14" s="46">
        <f t="shared" si="6"/>
        <v>0.22500000000000001</v>
      </c>
      <c r="E14" s="46">
        <f t="shared" si="6"/>
        <v>0.22500000000000001</v>
      </c>
      <c r="F14" s="46">
        <f t="shared" si="6"/>
        <v>0.22500000000000001</v>
      </c>
      <c r="G14" s="46">
        <f t="shared" si="6"/>
        <v>0.224</v>
      </c>
      <c r="H14" s="46">
        <f t="shared" si="6"/>
        <v>0.224</v>
      </c>
      <c r="I14" s="46">
        <f t="shared" si="6"/>
        <v>0.224</v>
      </c>
      <c r="J14" s="46">
        <f t="shared" si="6"/>
        <v>0.22500000000000001</v>
      </c>
      <c r="K14" s="46">
        <f t="shared" si="6"/>
        <v>0.22500000000000001</v>
      </c>
      <c r="L14" s="46">
        <f t="shared" si="6"/>
        <v>0.22500000000000001</v>
      </c>
      <c r="M14" s="46">
        <f t="shared" si="6"/>
        <v>0.22500000000000001</v>
      </c>
      <c r="N14" s="47">
        <f>SUM(N11:N12)/N7</f>
        <v>0.22500000000000001</v>
      </c>
    </row>
    <row r="15" spans="1:14" s="1" customFormat="1" ht="14.25" thickTop="1" thickBot="1" x14ac:dyDescent="0.25">
      <c r="A15" s="22" t="s">
        <v>22</v>
      </c>
      <c r="B15" s="23">
        <f t="shared" ref="B15:M15" si="7">+B9+B13</f>
        <v>450406</v>
      </c>
      <c r="C15" s="23">
        <f t="shared" si="7"/>
        <v>454225</v>
      </c>
      <c r="D15" s="23">
        <f t="shared" si="7"/>
        <v>447861</v>
      </c>
      <c r="E15" s="23">
        <f t="shared" si="7"/>
        <v>460588</v>
      </c>
      <c r="F15" s="23">
        <f t="shared" si="7"/>
        <v>460589</v>
      </c>
      <c r="G15" s="23">
        <f t="shared" si="7"/>
        <v>575133</v>
      </c>
      <c r="H15" s="23">
        <f t="shared" si="7"/>
        <v>606950</v>
      </c>
      <c r="I15" s="23">
        <f t="shared" si="7"/>
        <v>575133</v>
      </c>
      <c r="J15" s="23">
        <f t="shared" si="7"/>
        <v>511506</v>
      </c>
      <c r="K15" s="23">
        <f t="shared" si="7"/>
        <v>447869</v>
      </c>
      <c r="L15" s="23">
        <f t="shared" si="7"/>
        <v>447869</v>
      </c>
      <c r="M15" s="23">
        <f t="shared" si="7"/>
        <v>447871</v>
      </c>
      <c r="N15" s="24">
        <f>SUM(N9+N13)</f>
        <v>5886000</v>
      </c>
    </row>
    <row r="16" spans="1:14" ht="4.5" customHeight="1" thickTop="1" thickBot="1" x14ac:dyDescent="0.25">
      <c r="A16" s="13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6"/>
    </row>
    <row r="17" spans="1:14" s="1" customFormat="1" x14ac:dyDescent="0.2">
      <c r="A17" s="25" t="s">
        <v>23</v>
      </c>
      <c r="B17" s="26">
        <f t="shared" ref="B17:N17" si="8">B7-B15</f>
        <v>237990</v>
      </c>
      <c r="C17" s="26">
        <f t="shared" si="8"/>
        <v>240038</v>
      </c>
      <c r="D17" s="26">
        <f t="shared" si="8"/>
        <v>236624</v>
      </c>
      <c r="E17" s="26">
        <f t="shared" si="8"/>
        <v>243454</v>
      </c>
      <c r="F17" s="26">
        <f t="shared" si="8"/>
        <v>243453</v>
      </c>
      <c r="G17" s="26">
        <f t="shared" si="8"/>
        <v>304919</v>
      </c>
      <c r="H17" s="26">
        <f t="shared" si="8"/>
        <v>321994</v>
      </c>
      <c r="I17" s="26">
        <f t="shared" si="8"/>
        <v>304919</v>
      </c>
      <c r="J17" s="26">
        <f t="shared" si="8"/>
        <v>270763</v>
      </c>
      <c r="K17" s="26">
        <f t="shared" si="8"/>
        <v>236616</v>
      </c>
      <c r="L17" s="26">
        <f t="shared" si="8"/>
        <v>236616</v>
      </c>
      <c r="M17" s="26">
        <f t="shared" si="8"/>
        <v>236614</v>
      </c>
      <c r="N17" s="27">
        <f t="shared" si="8"/>
        <v>3114000</v>
      </c>
    </row>
    <row r="18" spans="1:14" s="48" customFormat="1" ht="11.25" x14ac:dyDescent="0.2">
      <c r="A18" s="45" t="s">
        <v>24</v>
      </c>
      <c r="B18" s="46">
        <f t="shared" ref="B18:M18" si="9">IF(ISERR(B17/B7),0,B17/B7)</f>
        <v>0.34599999999999997</v>
      </c>
      <c r="C18" s="46">
        <f t="shared" si="9"/>
        <v>0.34599999999999997</v>
      </c>
      <c r="D18" s="46">
        <f t="shared" si="9"/>
        <v>0.34599999999999997</v>
      </c>
      <c r="E18" s="46">
        <f t="shared" si="9"/>
        <v>0.34599999999999997</v>
      </c>
      <c r="F18" s="46">
        <f t="shared" si="9"/>
        <v>0.34599999999999997</v>
      </c>
      <c r="G18" s="46">
        <f t="shared" si="9"/>
        <v>0.34599999999999997</v>
      </c>
      <c r="H18" s="46">
        <f t="shared" si="9"/>
        <v>0.34699999999999998</v>
      </c>
      <c r="I18" s="46">
        <f t="shared" si="9"/>
        <v>0.34599999999999997</v>
      </c>
      <c r="J18" s="46">
        <f t="shared" si="9"/>
        <v>0.34599999999999997</v>
      </c>
      <c r="K18" s="46">
        <f t="shared" si="9"/>
        <v>0.34599999999999997</v>
      </c>
      <c r="L18" s="46">
        <f t="shared" si="9"/>
        <v>0.34599999999999997</v>
      </c>
      <c r="M18" s="46">
        <f t="shared" si="9"/>
        <v>0.34599999999999997</v>
      </c>
      <c r="N18" s="47">
        <f>N17/N7</f>
        <v>0.34599999999999997</v>
      </c>
    </row>
    <row r="19" spans="1:14" x14ac:dyDescent="0.2">
      <c r="A19" s="13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49"/>
    </row>
    <row r="20" spans="1:14" x14ac:dyDescent="0.2">
      <c r="A20" s="13" t="s">
        <v>39</v>
      </c>
      <c r="B20" s="14">
        <v>2704</v>
      </c>
      <c r="C20" s="14">
        <v>2704</v>
      </c>
      <c r="D20" s="14">
        <v>2704</v>
      </c>
      <c r="E20" s="14">
        <v>2704</v>
      </c>
      <c r="F20" s="14">
        <v>2704</v>
      </c>
      <c r="G20" s="14">
        <v>2704</v>
      </c>
      <c r="H20" s="14">
        <v>2704</v>
      </c>
      <c r="I20" s="14">
        <v>2704</v>
      </c>
      <c r="J20" s="14">
        <v>2704</v>
      </c>
      <c r="K20" s="14">
        <v>2704</v>
      </c>
      <c r="L20" s="14">
        <v>2704</v>
      </c>
      <c r="M20" s="14">
        <v>2704</v>
      </c>
      <c r="N20" s="49">
        <f t="shared" ref="N20:N37" si="10">SUM(B20:M20)</f>
        <v>32448</v>
      </c>
    </row>
    <row r="21" spans="1:14" x14ac:dyDescent="0.2">
      <c r="A21" s="13" t="s">
        <v>40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49">
        <f t="shared" si="10"/>
        <v>0</v>
      </c>
    </row>
    <row r="22" spans="1:14" x14ac:dyDescent="0.2">
      <c r="A22" s="13" t="s">
        <v>41</v>
      </c>
      <c r="B22" s="14">
        <v>750</v>
      </c>
      <c r="C22" s="14">
        <v>750</v>
      </c>
      <c r="D22" s="14">
        <v>750</v>
      </c>
      <c r="E22" s="14">
        <v>750</v>
      </c>
      <c r="F22" s="14">
        <v>750</v>
      </c>
      <c r="G22" s="14">
        <v>750</v>
      </c>
      <c r="H22" s="14">
        <v>750</v>
      </c>
      <c r="I22" s="14">
        <v>750</v>
      </c>
      <c r="J22" s="14">
        <v>750</v>
      </c>
      <c r="K22" s="14">
        <v>750</v>
      </c>
      <c r="L22" s="14">
        <v>750</v>
      </c>
      <c r="M22" s="14">
        <v>750</v>
      </c>
      <c r="N22" s="49">
        <f t="shared" si="10"/>
        <v>9000</v>
      </c>
    </row>
    <row r="23" spans="1:14" x14ac:dyDescent="0.2">
      <c r="A23" s="13" t="s">
        <v>42</v>
      </c>
      <c r="B23" s="14">
        <v>208</v>
      </c>
      <c r="C23" s="14">
        <v>208</v>
      </c>
      <c r="D23" s="14">
        <v>208</v>
      </c>
      <c r="E23" s="14">
        <v>208</v>
      </c>
      <c r="F23" s="14">
        <v>208</v>
      </c>
      <c r="G23" s="14">
        <v>208</v>
      </c>
      <c r="H23" s="14">
        <v>208</v>
      </c>
      <c r="I23" s="14">
        <v>208</v>
      </c>
      <c r="J23" s="14">
        <v>208</v>
      </c>
      <c r="K23" s="14">
        <v>208</v>
      </c>
      <c r="L23" s="14">
        <v>208</v>
      </c>
      <c r="M23" s="14">
        <v>208</v>
      </c>
      <c r="N23" s="49">
        <f t="shared" si="10"/>
        <v>2496</v>
      </c>
    </row>
    <row r="24" spans="1:14" x14ac:dyDescent="0.2">
      <c r="A24" s="13" t="s">
        <v>43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49">
        <f t="shared" si="10"/>
        <v>0</v>
      </c>
    </row>
    <row r="25" spans="1:14" x14ac:dyDescent="0.2">
      <c r="A25" s="13" t="s">
        <v>44</v>
      </c>
      <c r="B25" s="14">
        <v>3363</v>
      </c>
      <c r="C25" s="14">
        <v>3363</v>
      </c>
      <c r="D25" s="14">
        <v>3363</v>
      </c>
      <c r="E25" s="14">
        <v>3363</v>
      </c>
      <c r="F25" s="14">
        <v>3364</v>
      </c>
      <c r="G25" s="14">
        <v>3364</v>
      </c>
      <c r="H25" s="14">
        <v>3364</v>
      </c>
      <c r="I25" s="14">
        <v>3364</v>
      </c>
      <c r="J25" s="14">
        <v>3364</v>
      </c>
      <c r="K25" s="14">
        <v>3364</v>
      </c>
      <c r="L25" s="14">
        <v>3364</v>
      </c>
      <c r="M25" s="14">
        <v>3364</v>
      </c>
      <c r="N25" s="49">
        <f t="shared" si="10"/>
        <v>40364</v>
      </c>
    </row>
    <row r="26" spans="1:14" x14ac:dyDescent="0.2">
      <c r="A26" s="13" t="s">
        <v>45</v>
      </c>
      <c r="B26" s="14">
        <v>4617</v>
      </c>
      <c r="C26" s="14">
        <v>4617</v>
      </c>
      <c r="D26" s="14">
        <v>4617</v>
      </c>
      <c r="E26" s="14">
        <v>4617</v>
      </c>
      <c r="F26" s="14">
        <v>4617</v>
      </c>
      <c r="G26" s="14">
        <v>4617</v>
      </c>
      <c r="H26" s="14">
        <v>4617</v>
      </c>
      <c r="I26" s="14">
        <v>4617</v>
      </c>
      <c r="J26" s="14">
        <v>4617</v>
      </c>
      <c r="K26" s="14">
        <v>4617</v>
      </c>
      <c r="L26" s="14">
        <v>4617</v>
      </c>
      <c r="M26" s="14">
        <v>4617</v>
      </c>
      <c r="N26" s="49">
        <f t="shared" si="10"/>
        <v>55404</v>
      </c>
    </row>
    <row r="27" spans="1:14" x14ac:dyDescent="0.2">
      <c r="A27" s="13" t="s">
        <v>46</v>
      </c>
      <c r="B27" s="14">
        <v>1583</v>
      </c>
      <c r="C27" s="14">
        <v>1583</v>
      </c>
      <c r="D27" s="14">
        <v>1583</v>
      </c>
      <c r="E27" s="14">
        <v>1583</v>
      </c>
      <c r="F27" s="14">
        <v>1583</v>
      </c>
      <c r="G27" s="14">
        <v>1583</v>
      </c>
      <c r="H27" s="14">
        <v>1583</v>
      </c>
      <c r="I27" s="14">
        <v>1583</v>
      </c>
      <c r="J27" s="14">
        <v>1583</v>
      </c>
      <c r="K27" s="14">
        <v>1583</v>
      </c>
      <c r="L27" s="14">
        <v>1583</v>
      </c>
      <c r="M27" s="14">
        <v>1583</v>
      </c>
      <c r="N27" s="49">
        <f t="shared" si="10"/>
        <v>18996</v>
      </c>
    </row>
    <row r="28" spans="1:14" x14ac:dyDescent="0.2">
      <c r="A28" s="13" t="s">
        <v>47</v>
      </c>
      <c r="B28" s="14">
        <v>10000</v>
      </c>
      <c r="C28" s="14">
        <v>10000</v>
      </c>
      <c r="D28" s="14">
        <v>10000</v>
      </c>
      <c r="E28" s="14">
        <v>10000</v>
      </c>
      <c r="F28" s="14">
        <v>10000</v>
      </c>
      <c r="G28" s="14">
        <v>10000</v>
      </c>
      <c r="H28" s="14">
        <v>10000</v>
      </c>
      <c r="I28" s="14">
        <v>10000</v>
      </c>
      <c r="J28" s="14">
        <v>10000</v>
      </c>
      <c r="K28" s="14">
        <v>10000</v>
      </c>
      <c r="L28" s="14">
        <v>10000</v>
      </c>
      <c r="M28" s="14">
        <v>10000</v>
      </c>
      <c r="N28" s="49">
        <f t="shared" si="10"/>
        <v>120000</v>
      </c>
    </row>
    <row r="29" spans="1:14" x14ac:dyDescent="0.2">
      <c r="A29" s="13" t="s">
        <v>48</v>
      </c>
      <c r="B29" s="14">
        <v>2917</v>
      </c>
      <c r="C29" s="14">
        <v>2917</v>
      </c>
      <c r="D29" s="14">
        <v>2917</v>
      </c>
      <c r="E29" s="14">
        <v>2917</v>
      </c>
      <c r="F29" s="14">
        <v>2917</v>
      </c>
      <c r="G29" s="14">
        <v>2917</v>
      </c>
      <c r="H29" s="14">
        <v>2917</v>
      </c>
      <c r="I29" s="14">
        <v>2917</v>
      </c>
      <c r="J29" s="14">
        <v>2917</v>
      </c>
      <c r="K29" s="14">
        <v>2917</v>
      </c>
      <c r="L29" s="14">
        <v>2917</v>
      </c>
      <c r="M29" s="14">
        <v>2917</v>
      </c>
      <c r="N29" s="49">
        <f t="shared" si="10"/>
        <v>35004</v>
      </c>
    </row>
    <row r="30" spans="1:14" x14ac:dyDescent="0.2">
      <c r="A30" s="13" t="s">
        <v>49</v>
      </c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49">
        <f t="shared" si="10"/>
        <v>0</v>
      </c>
    </row>
    <row r="31" spans="1:14" x14ac:dyDescent="0.2">
      <c r="A31" s="13" t="s">
        <v>50</v>
      </c>
      <c r="B31" s="14">
        <v>2500</v>
      </c>
      <c r="C31" s="14">
        <v>2500</v>
      </c>
      <c r="D31" s="14">
        <v>2500</v>
      </c>
      <c r="E31" s="14">
        <v>2500</v>
      </c>
      <c r="F31" s="14">
        <v>2500</v>
      </c>
      <c r="G31" s="14">
        <v>2500</v>
      </c>
      <c r="H31" s="14">
        <v>2500</v>
      </c>
      <c r="I31" s="14">
        <v>2500</v>
      </c>
      <c r="J31" s="14">
        <v>2500</v>
      </c>
      <c r="K31" s="14">
        <v>2500</v>
      </c>
      <c r="L31" s="14">
        <v>2500</v>
      </c>
      <c r="M31" s="14">
        <v>2500</v>
      </c>
      <c r="N31" s="49">
        <f t="shared" si="10"/>
        <v>30000</v>
      </c>
    </row>
    <row r="32" spans="1:14" x14ac:dyDescent="0.2">
      <c r="A32" s="13" t="s">
        <v>51</v>
      </c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49">
        <f t="shared" si="10"/>
        <v>0</v>
      </c>
    </row>
    <row r="33" spans="1:14" x14ac:dyDescent="0.2">
      <c r="A33" s="13" t="s">
        <v>52</v>
      </c>
      <c r="B33" s="14">
        <v>20920</v>
      </c>
      <c r="C33" s="14">
        <v>20920</v>
      </c>
      <c r="D33" s="14">
        <v>20920</v>
      </c>
      <c r="E33" s="14">
        <v>20920</v>
      </c>
      <c r="F33" s="14">
        <v>20920</v>
      </c>
      <c r="G33" s="14">
        <v>20920</v>
      </c>
      <c r="H33" s="14">
        <v>20920</v>
      </c>
      <c r="I33" s="14">
        <v>20920</v>
      </c>
      <c r="J33" s="14">
        <v>20920</v>
      </c>
      <c r="K33" s="14">
        <v>20920</v>
      </c>
      <c r="L33" s="14">
        <v>20920</v>
      </c>
      <c r="M33" s="14">
        <v>20920</v>
      </c>
      <c r="N33" s="49">
        <f t="shared" si="10"/>
        <v>251040</v>
      </c>
    </row>
    <row r="34" spans="1:14" x14ac:dyDescent="0.2">
      <c r="A34" s="13" t="s">
        <v>53</v>
      </c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49">
        <f t="shared" si="10"/>
        <v>0</v>
      </c>
    </row>
    <row r="35" spans="1:14" x14ac:dyDescent="0.2">
      <c r="A35" s="13" t="s">
        <v>54</v>
      </c>
      <c r="B35" s="14">
        <v>917</v>
      </c>
      <c r="C35" s="14">
        <v>917</v>
      </c>
      <c r="D35" s="14">
        <v>917</v>
      </c>
      <c r="E35" s="14">
        <v>917</v>
      </c>
      <c r="F35" s="14">
        <v>917</v>
      </c>
      <c r="G35" s="14">
        <v>917</v>
      </c>
      <c r="H35" s="14">
        <v>917</v>
      </c>
      <c r="I35" s="14">
        <v>917</v>
      </c>
      <c r="J35" s="14">
        <v>917</v>
      </c>
      <c r="K35" s="14">
        <v>917</v>
      </c>
      <c r="L35" s="14">
        <v>917</v>
      </c>
      <c r="M35" s="14">
        <v>917</v>
      </c>
      <c r="N35" s="49">
        <f t="shared" si="10"/>
        <v>11004</v>
      </c>
    </row>
    <row r="36" spans="1:14" x14ac:dyDescent="0.2">
      <c r="A36" s="13" t="s">
        <v>55</v>
      </c>
      <c r="B36" s="14">
        <v>3354</v>
      </c>
      <c r="C36" s="14">
        <v>3354</v>
      </c>
      <c r="D36" s="14">
        <v>3354</v>
      </c>
      <c r="E36" s="14">
        <v>3354</v>
      </c>
      <c r="F36" s="14">
        <v>3354</v>
      </c>
      <c r="G36" s="14">
        <v>3354</v>
      </c>
      <c r="H36" s="14">
        <v>3354</v>
      </c>
      <c r="I36" s="14">
        <v>3354</v>
      </c>
      <c r="J36" s="14">
        <v>3354</v>
      </c>
      <c r="K36" s="14">
        <v>3354</v>
      </c>
      <c r="L36" s="14">
        <v>3354</v>
      </c>
      <c r="M36" s="14">
        <v>3354</v>
      </c>
      <c r="N36" s="49">
        <f t="shared" si="10"/>
        <v>40248</v>
      </c>
    </row>
    <row r="37" spans="1:14" x14ac:dyDescent="0.2">
      <c r="A37" s="13" t="s">
        <v>56</v>
      </c>
      <c r="B37" s="14">
        <v>4583</v>
      </c>
      <c r="C37" s="14">
        <v>4583</v>
      </c>
      <c r="D37" s="14">
        <v>4583</v>
      </c>
      <c r="E37" s="14">
        <v>4583</v>
      </c>
      <c r="F37" s="14">
        <v>4583</v>
      </c>
      <c r="G37" s="14">
        <v>4583</v>
      </c>
      <c r="H37" s="14">
        <v>4583</v>
      </c>
      <c r="I37" s="14">
        <v>4583</v>
      </c>
      <c r="J37" s="14">
        <v>4583</v>
      </c>
      <c r="K37" s="14">
        <v>4583</v>
      </c>
      <c r="L37" s="14">
        <v>4583</v>
      </c>
      <c r="M37" s="14">
        <v>4583</v>
      </c>
      <c r="N37" s="49">
        <f t="shared" si="10"/>
        <v>54996</v>
      </c>
    </row>
    <row r="38" spans="1:14" ht="14.1" customHeight="1" x14ac:dyDescent="0.2">
      <c r="A38" s="13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6"/>
    </row>
    <row r="39" spans="1:14" ht="14.1" customHeight="1" x14ac:dyDescent="0.2">
      <c r="A39" s="31" t="s">
        <v>25</v>
      </c>
      <c r="B39" s="32">
        <f>SUM(B20:B37)</f>
        <v>58416</v>
      </c>
      <c r="C39" s="32">
        <f t="shared" ref="C39:M39" si="11">SUM(C20:C37)</f>
        <v>58416</v>
      </c>
      <c r="D39" s="32">
        <f t="shared" si="11"/>
        <v>58416</v>
      </c>
      <c r="E39" s="32">
        <f t="shared" si="11"/>
        <v>58416</v>
      </c>
      <c r="F39" s="32">
        <f t="shared" si="11"/>
        <v>58417</v>
      </c>
      <c r="G39" s="32">
        <f t="shared" si="11"/>
        <v>58417</v>
      </c>
      <c r="H39" s="32">
        <f t="shared" si="11"/>
        <v>58417</v>
      </c>
      <c r="I39" s="32">
        <f t="shared" si="11"/>
        <v>58417</v>
      </c>
      <c r="J39" s="32">
        <f t="shared" si="11"/>
        <v>58417</v>
      </c>
      <c r="K39" s="32">
        <f t="shared" si="11"/>
        <v>58417</v>
      </c>
      <c r="L39" s="32">
        <f t="shared" si="11"/>
        <v>58417</v>
      </c>
      <c r="M39" s="32">
        <f t="shared" si="11"/>
        <v>58417</v>
      </c>
      <c r="N39" s="33">
        <f>SUM(B39:M39)</f>
        <v>701000</v>
      </c>
    </row>
    <row r="40" spans="1:14" s="1" customFormat="1" ht="14.1" customHeight="1" thickBot="1" x14ac:dyDescent="0.25">
      <c r="A40" s="28" t="s">
        <v>26</v>
      </c>
      <c r="B40" s="29">
        <f t="shared" ref="B40:L40" si="12">IF(ISERR(B39/B7),0,B39/B7)</f>
        <v>8.5000000000000006E-2</v>
      </c>
      <c r="C40" s="29">
        <f t="shared" si="12"/>
        <v>8.4000000000000005E-2</v>
      </c>
      <c r="D40" s="29">
        <f t="shared" si="12"/>
        <v>8.5000000000000006E-2</v>
      </c>
      <c r="E40" s="29">
        <f t="shared" si="12"/>
        <v>8.3000000000000004E-2</v>
      </c>
      <c r="F40" s="29">
        <f t="shared" si="12"/>
        <v>8.3000000000000004E-2</v>
      </c>
      <c r="G40" s="29">
        <f t="shared" si="12"/>
        <v>6.6000000000000003E-2</v>
      </c>
      <c r="H40" s="29">
        <f t="shared" si="12"/>
        <v>6.3E-2</v>
      </c>
      <c r="I40" s="29">
        <f t="shared" si="12"/>
        <v>6.6000000000000003E-2</v>
      </c>
      <c r="J40" s="29">
        <f t="shared" si="12"/>
        <v>7.4999999999999997E-2</v>
      </c>
      <c r="K40" s="29">
        <f t="shared" si="12"/>
        <v>8.5000000000000006E-2</v>
      </c>
      <c r="L40" s="29">
        <f t="shared" si="12"/>
        <v>8.5000000000000006E-2</v>
      </c>
      <c r="M40" s="29">
        <f>IF(ISERR(M39/M5),0,M39/M5)</f>
        <v>8.3000000000000004E-2</v>
      </c>
      <c r="N40" s="30">
        <f>N39/N7</f>
        <v>7.8E-2</v>
      </c>
    </row>
    <row r="41" spans="1:14" s="1" customFormat="1" ht="13.5" thickBot="1" x14ac:dyDescent="0.25">
      <c r="A41" s="17" t="s">
        <v>27</v>
      </c>
      <c r="B41" s="18">
        <f t="shared" ref="B41:N41" si="13">+B17-B39</f>
        <v>179574</v>
      </c>
      <c r="C41" s="18">
        <f t="shared" si="13"/>
        <v>181622</v>
      </c>
      <c r="D41" s="18">
        <f t="shared" si="13"/>
        <v>178208</v>
      </c>
      <c r="E41" s="18">
        <f t="shared" si="13"/>
        <v>185038</v>
      </c>
      <c r="F41" s="18">
        <f t="shared" si="13"/>
        <v>185036</v>
      </c>
      <c r="G41" s="18">
        <f t="shared" si="13"/>
        <v>246502</v>
      </c>
      <c r="H41" s="18">
        <f t="shared" si="13"/>
        <v>263577</v>
      </c>
      <c r="I41" s="18">
        <f t="shared" si="13"/>
        <v>246502</v>
      </c>
      <c r="J41" s="18">
        <f t="shared" si="13"/>
        <v>212346</v>
      </c>
      <c r="K41" s="18">
        <f t="shared" si="13"/>
        <v>178199</v>
      </c>
      <c r="L41" s="18">
        <f t="shared" si="13"/>
        <v>178199</v>
      </c>
      <c r="M41" s="18">
        <f t="shared" si="13"/>
        <v>178197</v>
      </c>
      <c r="N41" s="19">
        <f t="shared" si="13"/>
        <v>2413000</v>
      </c>
    </row>
    <row r="42" spans="1:14" s="1" customFormat="1" ht="13.5" thickBot="1" x14ac:dyDescent="0.25">
      <c r="A42" s="28" t="s">
        <v>24</v>
      </c>
      <c r="B42" s="29">
        <f t="shared" ref="B42:M42" si="14">IF(ISERR(B41/B7),0,B41/B7)</f>
        <v>0.26100000000000001</v>
      </c>
      <c r="C42" s="29">
        <f t="shared" si="14"/>
        <v>0.26200000000000001</v>
      </c>
      <c r="D42" s="29">
        <f t="shared" si="14"/>
        <v>0.26</v>
      </c>
      <c r="E42" s="29">
        <f t="shared" si="14"/>
        <v>0.26300000000000001</v>
      </c>
      <c r="F42" s="29">
        <f t="shared" si="14"/>
        <v>0.26300000000000001</v>
      </c>
      <c r="G42" s="29">
        <f t="shared" si="14"/>
        <v>0.28000000000000003</v>
      </c>
      <c r="H42" s="29">
        <f t="shared" si="14"/>
        <v>0.28399999999999997</v>
      </c>
      <c r="I42" s="29">
        <f t="shared" si="14"/>
        <v>0.28000000000000003</v>
      </c>
      <c r="J42" s="29">
        <f t="shared" si="14"/>
        <v>0.27100000000000002</v>
      </c>
      <c r="K42" s="29">
        <f t="shared" si="14"/>
        <v>0.26</v>
      </c>
      <c r="L42" s="29">
        <f t="shared" si="14"/>
        <v>0.26</v>
      </c>
      <c r="M42" s="29">
        <f t="shared" si="14"/>
        <v>0.26</v>
      </c>
      <c r="N42" s="30">
        <f>N41/N7</f>
        <v>0.26800000000000002</v>
      </c>
    </row>
    <row r="43" spans="1:14" s="1" customFormat="1" x14ac:dyDescent="0.2">
      <c r="A43" s="20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16"/>
    </row>
    <row r="44" spans="1:14" s="1" customFormat="1" x14ac:dyDescent="0.2">
      <c r="A44" s="20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16"/>
    </row>
    <row r="45" spans="1:14" s="1" customFormat="1" x14ac:dyDescent="0.2">
      <c r="A45" s="34" t="s">
        <v>28</v>
      </c>
      <c r="B45" s="35">
        <v>35000</v>
      </c>
      <c r="C45" s="35">
        <v>35000</v>
      </c>
      <c r="D45" s="35">
        <v>35000</v>
      </c>
      <c r="E45" s="35">
        <v>35000</v>
      </c>
      <c r="F45" s="35">
        <v>35000</v>
      </c>
      <c r="G45" s="35">
        <v>35000</v>
      </c>
      <c r="H45" s="35">
        <v>35000</v>
      </c>
      <c r="I45" s="35">
        <v>35000</v>
      </c>
      <c r="J45" s="35">
        <v>35000</v>
      </c>
      <c r="K45" s="35">
        <v>35000</v>
      </c>
      <c r="L45" s="35">
        <v>35000</v>
      </c>
      <c r="M45" s="35">
        <v>35000</v>
      </c>
      <c r="N45" s="16">
        <f>SUM(B45:M45)</f>
        <v>420000</v>
      </c>
    </row>
    <row r="46" spans="1:14" s="1" customFormat="1" x14ac:dyDescent="0.2">
      <c r="A46" s="34" t="s">
        <v>29</v>
      </c>
      <c r="B46" s="35">
        <v>3333</v>
      </c>
      <c r="C46" s="35">
        <v>3333</v>
      </c>
      <c r="D46" s="35">
        <v>3333</v>
      </c>
      <c r="E46" s="35">
        <v>3333</v>
      </c>
      <c r="F46" s="35">
        <v>3333</v>
      </c>
      <c r="G46" s="35">
        <v>3333</v>
      </c>
      <c r="H46" s="35">
        <v>3333</v>
      </c>
      <c r="I46" s="35">
        <v>3333</v>
      </c>
      <c r="J46" s="35">
        <v>3334</v>
      </c>
      <c r="K46" s="35">
        <v>3334</v>
      </c>
      <c r="L46" s="35">
        <v>3334</v>
      </c>
      <c r="M46" s="35">
        <v>3334</v>
      </c>
      <c r="N46" s="16">
        <f>SUM(B46:M46)</f>
        <v>40000</v>
      </c>
    </row>
    <row r="47" spans="1:14" s="1" customFormat="1" x14ac:dyDescent="0.2">
      <c r="A47" s="36" t="s">
        <v>2</v>
      </c>
      <c r="B47" s="37">
        <v>53833</v>
      </c>
      <c r="C47" s="37">
        <v>53833</v>
      </c>
      <c r="D47" s="37">
        <v>53833</v>
      </c>
      <c r="E47" s="37">
        <v>53833</v>
      </c>
      <c r="F47" s="37">
        <v>53833</v>
      </c>
      <c r="G47" s="37">
        <v>53833</v>
      </c>
      <c r="H47" s="37">
        <v>53833</v>
      </c>
      <c r="I47" s="37">
        <v>53833</v>
      </c>
      <c r="J47" s="37">
        <v>53833</v>
      </c>
      <c r="K47" s="37">
        <v>53833</v>
      </c>
      <c r="L47" s="37">
        <v>53833</v>
      </c>
      <c r="M47" s="37">
        <f>53837+42000</f>
        <v>95837</v>
      </c>
      <c r="N47" s="33">
        <f>SUM(B47:M47)</f>
        <v>688000</v>
      </c>
    </row>
    <row r="48" spans="1:14" s="1" customFormat="1" x14ac:dyDescent="0.2">
      <c r="A48" s="36" t="s">
        <v>30</v>
      </c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3">
        <f>SUM(B48:M48)</f>
        <v>0</v>
      </c>
    </row>
    <row r="49" spans="1:14" ht="14.25" customHeight="1" thickBot="1" x14ac:dyDescent="0.25">
      <c r="A49" s="13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16"/>
    </row>
    <row r="50" spans="1:14" s="1" customFormat="1" ht="14.25" thickTop="1" thickBot="1" x14ac:dyDescent="0.25">
      <c r="A50" s="17" t="s">
        <v>31</v>
      </c>
      <c r="B50" s="18">
        <f t="shared" ref="B50:N50" si="15">+B41-B45-B46-B47-B48</f>
        <v>87408</v>
      </c>
      <c r="C50" s="18">
        <f t="shared" si="15"/>
        <v>89456</v>
      </c>
      <c r="D50" s="18">
        <f t="shared" si="15"/>
        <v>86042</v>
      </c>
      <c r="E50" s="18">
        <f t="shared" si="15"/>
        <v>92872</v>
      </c>
      <c r="F50" s="18">
        <f t="shared" si="15"/>
        <v>92870</v>
      </c>
      <c r="G50" s="18">
        <f t="shared" si="15"/>
        <v>154336</v>
      </c>
      <c r="H50" s="18">
        <f t="shared" si="15"/>
        <v>171411</v>
      </c>
      <c r="I50" s="18">
        <f t="shared" si="15"/>
        <v>154336</v>
      </c>
      <c r="J50" s="18">
        <f t="shared" si="15"/>
        <v>120179</v>
      </c>
      <c r="K50" s="18">
        <f t="shared" si="15"/>
        <v>86032</v>
      </c>
      <c r="L50" s="18">
        <f t="shared" si="15"/>
        <v>86032</v>
      </c>
      <c r="M50" s="18">
        <f t="shared" si="15"/>
        <v>44026</v>
      </c>
      <c r="N50" s="24">
        <f t="shared" si="15"/>
        <v>1265000</v>
      </c>
    </row>
    <row r="51" spans="1:14" s="1" customFormat="1" ht="13.5" thickBot="1" x14ac:dyDescent="0.25">
      <c r="A51" s="28" t="s">
        <v>24</v>
      </c>
      <c r="B51" s="29">
        <f t="shared" ref="B51:M51" si="16">IF(ISERR(B50/B7),0,B50/B7)</f>
        <v>0.127</v>
      </c>
      <c r="C51" s="29">
        <f t="shared" si="16"/>
        <v>0.129</v>
      </c>
      <c r="D51" s="29">
        <f t="shared" si="16"/>
        <v>0.126</v>
      </c>
      <c r="E51" s="29">
        <f t="shared" si="16"/>
        <v>0.13200000000000001</v>
      </c>
      <c r="F51" s="29">
        <f t="shared" si="16"/>
        <v>0.13200000000000001</v>
      </c>
      <c r="G51" s="29">
        <f t="shared" si="16"/>
        <v>0.17499999999999999</v>
      </c>
      <c r="H51" s="29">
        <f t="shared" si="16"/>
        <v>0.185</v>
      </c>
      <c r="I51" s="29">
        <f t="shared" si="16"/>
        <v>0.17499999999999999</v>
      </c>
      <c r="J51" s="29">
        <f t="shared" si="16"/>
        <v>0.154</v>
      </c>
      <c r="K51" s="29">
        <f t="shared" si="16"/>
        <v>0.126</v>
      </c>
      <c r="L51" s="29">
        <f t="shared" si="16"/>
        <v>0.126</v>
      </c>
      <c r="M51" s="29">
        <f t="shared" si="16"/>
        <v>6.4000000000000001E-2</v>
      </c>
      <c r="N51" s="30">
        <f>N50/N7</f>
        <v>0.14099999999999999</v>
      </c>
    </row>
    <row r="52" spans="1:14" ht="6" hidden="1" customHeight="1" x14ac:dyDescent="0.2">
      <c r="A52" s="13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6"/>
    </row>
    <row r="53" spans="1:14" ht="15.75" hidden="1" customHeight="1" x14ac:dyDescent="0.2">
      <c r="A53" s="13" t="s">
        <v>32</v>
      </c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6">
        <f>SUM(B53:M53)</f>
        <v>0</v>
      </c>
    </row>
    <row r="54" spans="1:14" hidden="1" x14ac:dyDescent="0.2">
      <c r="A54" s="13" t="s">
        <v>33</v>
      </c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6">
        <f>SUM(B54:M54)</f>
        <v>0</v>
      </c>
    </row>
    <row r="55" spans="1:14" x14ac:dyDescent="0.2">
      <c r="A55" s="13" t="s">
        <v>34</v>
      </c>
      <c r="B55" s="14">
        <v>1250</v>
      </c>
      <c r="C55" s="14">
        <v>1250</v>
      </c>
      <c r="D55" s="14">
        <v>1250</v>
      </c>
      <c r="E55" s="14">
        <v>1250</v>
      </c>
      <c r="F55" s="14">
        <v>1250</v>
      </c>
      <c r="G55" s="14">
        <v>1250</v>
      </c>
      <c r="H55" s="14">
        <v>1250</v>
      </c>
      <c r="I55" s="14">
        <v>1250</v>
      </c>
      <c r="J55" s="14">
        <v>1250</v>
      </c>
      <c r="K55" s="14">
        <v>1250</v>
      </c>
      <c r="L55" s="14">
        <v>1250</v>
      </c>
      <c r="M55" s="14">
        <v>1250</v>
      </c>
      <c r="N55" s="16">
        <f>SUM(B55:M55)</f>
        <v>15000</v>
      </c>
    </row>
    <row r="56" spans="1:14" x14ac:dyDescent="0.2">
      <c r="A56" s="13" t="s">
        <v>57</v>
      </c>
      <c r="B56" s="14">
        <v>8000</v>
      </c>
      <c r="C56" s="14">
        <v>8050</v>
      </c>
      <c r="D56" s="14">
        <v>8100</v>
      </c>
      <c r="E56" s="14">
        <v>8150</v>
      </c>
      <c r="F56" s="14">
        <v>8200</v>
      </c>
      <c r="G56" s="14">
        <v>8250</v>
      </c>
      <c r="H56" s="14">
        <v>8300</v>
      </c>
      <c r="I56" s="14">
        <v>8350</v>
      </c>
      <c r="J56" s="14">
        <v>8400</v>
      </c>
      <c r="K56" s="14">
        <v>8450</v>
      </c>
      <c r="L56" s="14">
        <v>8500</v>
      </c>
      <c r="M56" s="14">
        <f>8550+16000+3700</f>
        <v>28250</v>
      </c>
      <c r="N56" s="16">
        <f>SUM(B56:M56)</f>
        <v>119000</v>
      </c>
    </row>
    <row r="57" spans="1:14" ht="4.5" customHeight="1" thickBot="1" x14ac:dyDescent="0.25">
      <c r="A57" s="13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6"/>
    </row>
    <row r="58" spans="1:14" s="1" customFormat="1" ht="13.5" thickBot="1" x14ac:dyDescent="0.25">
      <c r="A58" s="17" t="s">
        <v>35</v>
      </c>
      <c r="B58" s="18">
        <f t="shared" ref="B58:N58" si="17">+B50+B54+B55-B56-B53</f>
        <v>80658</v>
      </c>
      <c r="C58" s="18">
        <f t="shared" si="17"/>
        <v>82656</v>
      </c>
      <c r="D58" s="18">
        <f t="shared" si="17"/>
        <v>79192</v>
      </c>
      <c r="E58" s="18">
        <f t="shared" si="17"/>
        <v>85972</v>
      </c>
      <c r="F58" s="18">
        <f t="shared" si="17"/>
        <v>85920</v>
      </c>
      <c r="G58" s="18">
        <f t="shared" si="17"/>
        <v>147336</v>
      </c>
      <c r="H58" s="18">
        <f t="shared" si="17"/>
        <v>164361</v>
      </c>
      <c r="I58" s="18">
        <f t="shared" si="17"/>
        <v>147236</v>
      </c>
      <c r="J58" s="18">
        <f t="shared" si="17"/>
        <v>113029</v>
      </c>
      <c r="K58" s="18">
        <f t="shared" si="17"/>
        <v>78832</v>
      </c>
      <c r="L58" s="18">
        <f t="shared" si="17"/>
        <v>78782</v>
      </c>
      <c r="M58" s="18">
        <f t="shared" si="17"/>
        <v>17026</v>
      </c>
      <c r="N58" s="19">
        <f t="shared" si="17"/>
        <v>1161000</v>
      </c>
    </row>
    <row r="59" spans="1:14" ht="6" customHeight="1" x14ac:dyDescent="0.2">
      <c r="A59" s="13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5"/>
    </row>
    <row r="60" spans="1:14" x14ac:dyDescent="0.2">
      <c r="A60" s="13" t="s">
        <v>36</v>
      </c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5">
        <f>SUM(B60:M60)</f>
        <v>0</v>
      </c>
    </row>
    <row r="61" spans="1:14" x14ac:dyDescent="0.2">
      <c r="A61" s="13" t="s">
        <v>0</v>
      </c>
      <c r="B61" s="14">
        <v>5250</v>
      </c>
      <c r="C61" s="14">
        <v>5250</v>
      </c>
      <c r="D61" s="14">
        <v>5250</v>
      </c>
      <c r="E61" s="14">
        <v>5250</v>
      </c>
      <c r="F61" s="14">
        <v>5250</v>
      </c>
      <c r="G61" s="14">
        <v>5250</v>
      </c>
      <c r="H61" s="14">
        <v>5250</v>
      </c>
      <c r="I61" s="14">
        <v>5250</v>
      </c>
      <c r="J61" s="14">
        <v>576250</v>
      </c>
      <c r="K61" s="14">
        <v>5250</v>
      </c>
      <c r="L61" s="14">
        <v>5250</v>
      </c>
      <c r="M61" s="14">
        <v>5250</v>
      </c>
      <c r="N61" s="15">
        <f>SUM(B61:M61)</f>
        <v>634000</v>
      </c>
    </row>
    <row r="62" spans="1:14" ht="6.75" customHeight="1" thickBot="1" x14ac:dyDescent="0.25">
      <c r="A62" s="13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5"/>
    </row>
    <row r="63" spans="1:14" s="1" customFormat="1" ht="13.5" thickBot="1" x14ac:dyDescent="0.25">
      <c r="A63" s="38" t="s">
        <v>37</v>
      </c>
      <c r="B63" s="39">
        <f t="shared" ref="B63:N63" si="18">+B58-B60-B61</f>
        <v>75408</v>
      </c>
      <c r="C63" s="39">
        <f t="shared" si="18"/>
        <v>77406</v>
      </c>
      <c r="D63" s="39">
        <f t="shared" si="18"/>
        <v>73942</v>
      </c>
      <c r="E63" s="39">
        <f t="shared" si="18"/>
        <v>80722</v>
      </c>
      <c r="F63" s="39">
        <f t="shared" si="18"/>
        <v>80670</v>
      </c>
      <c r="G63" s="39">
        <f t="shared" si="18"/>
        <v>142086</v>
      </c>
      <c r="H63" s="39">
        <f t="shared" si="18"/>
        <v>159111</v>
      </c>
      <c r="I63" s="39">
        <f t="shared" si="18"/>
        <v>141986</v>
      </c>
      <c r="J63" s="39">
        <f t="shared" si="18"/>
        <v>-463221</v>
      </c>
      <c r="K63" s="39">
        <f t="shared" si="18"/>
        <v>73582</v>
      </c>
      <c r="L63" s="39">
        <f t="shared" si="18"/>
        <v>73532</v>
      </c>
      <c r="M63" s="39">
        <f t="shared" si="18"/>
        <v>11776</v>
      </c>
      <c r="N63" s="40">
        <f t="shared" si="18"/>
        <v>527000</v>
      </c>
    </row>
    <row r="64" spans="1:14" s="44" customFormat="1" ht="13.5" thickBot="1" x14ac:dyDescent="0.25">
      <c r="A64" s="41" t="s">
        <v>38</v>
      </c>
      <c r="B64" s="42">
        <f>+B63</f>
        <v>75408</v>
      </c>
      <c r="C64" s="42">
        <f t="shared" ref="C64:M64" si="19">+B64+C63</f>
        <v>152814</v>
      </c>
      <c r="D64" s="42">
        <f t="shared" si="19"/>
        <v>226756</v>
      </c>
      <c r="E64" s="42">
        <f t="shared" si="19"/>
        <v>307478</v>
      </c>
      <c r="F64" s="42">
        <f t="shared" si="19"/>
        <v>388148</v>
      </c>
      <c r="G64" s="42">
        <f t="shared" si="19"/>
        <v>530234</v>
      </c>
      <c r="H64" s="42">
        <f t="shared" si="19"/>
        <v>689345</v>
      </c>
      <c r="I64" s="42">
        <f t="shared" si="19"/>
        <v>831331</v>
      </c>
      <c r="J64" s="42">
        <f t="shared" si="19"/>
        <v>368110</v>
      </c>
      <c r="K64" s="42">
        <f t="shared" si="19"/>
        <v>441692</v>
      </c>
      <c r="L64" s="42">
        <f t="shared" si="19"/>
        <v>515224</v>
      </c>
      <c r="M64" s="42">
        <f t="shared" si="19"/>
        <v>527000</v>
      </c>
      <c r="N64" s="43"/>
    </row>
    <row r="65" ht="13.5" thickTop="1" x14ac:dyDescent="0.2"/>
  </sheetData>
  <phoneticPr fontId="7" type="noConversion"/>
  <pageMargins left="0.75" right="0.75" top="1" bottom="1" header="0.5" footer="0.5"/>
  <pageSetup paperSize="9" scale="5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65"/>
  <sheetViews>
    <sheetView showGridLines="0" topLeftCell="C32" workbookViewId="0">
      <selection activeCell="F48" sqref="F48:M48"/>
    </sheetView>
  </sheetViews>
  <sheetFormatPr defaultRowHeight="12.75" x14ac:dyDescent="0.2"/>
  <cols>
    <col min="1" max="1" width="29.85546875" customWidth="1"/>
    <col min="2" max="2" width="12" customWidth="1"/>
    <col min="3" max="3" width="11.42578125" customWidth="1"/>
    <col min="4" max="4" width="10.85546875" customWidth="1"/>
    <col min="5" max="5" width="10.7109375" customWidth="1"/>
    <col min="13" max="13" width="10.140625" customWidth="1"/>
    <col min="14" max="14" width="14.85546875" style="1" customWidth="1"/>
  </cols>
  <sheetData>
    <row r="1" spans="1:14" ht="15.75" x14ac:dyDescent="0.25">
      <c r="A1" s="3" t="s">
        <v>59</v>
      </c>
    </row>
    <row r="2" spans="1:14" ht="13.5" thickBot="1" x14ac:dyDescent="0.25"/>
    <row r="3" spans="1:14" ht="13.5" thickTop="1" x14ac:dyDescent="0.2">
      <c r="A3" s="10"/>
      <c r="B3" s="11">
        <v>38457</v>
      </c>
      <c r="C3" s="11">
        <f t="shared" ref="C3:M3" si="0">B3+30</f>
        <v>38487</v>
      </c>
      <c r="D3" s="11">
        <f t="shared" si="0"/>
        <v>38517</v>
      </c>
      <c r="E3" s="11">
        <f t="shared" si="0"/>
        <v>38547</v>
      </c>
      <c r="F3" s="11">
        <f t="shared" si="0"/>
        <v>38577</v>
      </c>
      <c r="G3" s="11">
        <f t="shared" si="0"/>
        <v>38607</v>
      </c>
      <c r="H3" s="11">
        <f t="shared" si="0"/>
        <v>38637</v>
      </c>
      <c r="I3" s="11">
        <f t="shared" si="0"/>
        <v>38667</v>
      </c>
      <c r="J3" s="11">
        <f t="shared" si="0"/>
        <v>38697</v>
      </c>
      <c r="K3" s="11">
        <f t="shared" si="0"/>
        <v>38727</v>
      </c>
      <c r="L3" s="11">
        <f t="shared" si="0"/>
        <v>38757</v>
      </c>
      <c r="M3" s="11">
        <f t="shared" si="0"/>
        <v>38787</v>
      </c>
      <c r="N3" s="12" t="s">
        <v>3</v>
      </c>
    </row>
    <row r="4" spans="1:14" x14ac:dyDescent="0.2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5"/>
    </row>
    <row r="5" spans="1:14" x14ac:dyDescent="0.2">
      <c r="A5" s="13" t="s">
        <v>13</v>
      </c>
      <c r="B5" s="14">
        <v>760000</v>
      </c>
      <c r="C5" s="14">
        <v>776000</v>
      </c>
      <c r="D5" s="14">
        <v>800000</v>
      </c>
      <c r="E5" s="14">
        <v>850000</v>
      </c>
      <c r="F5" s="14">
        <v>950000</v>
      </c>
      <c r="G5" s="14">
        <v>1000000</v>
      </c>
      <c r="H5" s="14">
        <v>1050000</v>
      </c>
      <c r="I5" s="14">
        <v>1000000</v>
      </c>
      <c r="J5" s="14">
        <v>900000</v>
      </c>
      <c r="K5" s="14">
        <v>900000</v>
      </c>
      <c r="L5" s="14">
        <v>900000</v>
      </c>
      <c r="M5" s="14">
        <v>850000</v>
      </c>
      <c r="N5" s="16">
        <f>SUM(B5:M5)</f>
        <v>10736000</v>
      </c>
    </row>
    <row r="6" spans="1:14" ht="13.5" thickBot="1" x14ac:dyDescent="0.25">
      <c r="A6" s="13" t="s">
        <v>14</v>
      </c>
      <c r="B6" s="14">
        <f>-B5*0.022</f>
        <v>-16720</v>
      </c>
      <c r="C6" s="14">
        <f t="shared" ref="C6:M6" si="1">-C5*0.022</f>
        <v>-17072</v>
      </c>
      <c r="D6" s="14">
        <f t="shared" si="1"/>
        <v>-17600</v>
      </c>
      <c r="E6" s="14">
        <f t="shared" si="1"/>
        <v>-18700</v>
      </c>
      <c r="F6" s="14">
        <f t="shared" si="1"/>
        <v>-20900</v>
      </c>
      <c r="G6" s="14">
        <f t="shared" si="1"/>
        <v>-22000</v>
      </c>
      <c r="H6" s="14">
        <f t="shared" si="1"/>
        <v>-23100</v>
      </c>
      <c r="I6" s="14">
        <f t="shared" si="1"/>
        <v>-22000</v>
      </c>
      <c r="J6" s="14">
        <f t="shared" si="1"/>
        <v>-19800</v>
      </c>
      <c r="K6" s="14">
        <f t="shared" si="1"/>
        <v>-19800</v>
      </c>
      <c r="L6" s="14">
        <f t="shared" si="1"/>
        <v>-19800</v>
      </c>
      <c r="M6" s="14">
        <f t="shared" si="1"/>
        <v>-18700</v>
      </c>
      <c r="N6" s="16">
        <f>SUM(B6:M6)</f>
        <v>-236192</v>
      </c>
    </row>
    <row r="7" spans="1:14" s="1" customFormat="1" ht="13.5" thickBot="1" x14ac:dyDescent="0.25">
      <c r="A7" s="17" t="s">
        <v>15</v>
      </c>
      <c r="B7" s="18">
        <f t="shared" ref="B7:M7" si="2">SUM(B5:B6)</f>
        <v>743280</v>
      </c>
      <c r="C7" s="18">
        <f t="shared" si="2"/>
        <v>758928</v>
      </c>
      <c r="D7" s="18">
        <f t="shared" si="2"/>
        <v>782400</v>
      </c>
      <c r="E7" s="18">
        <f t="shared" si="2"/>
        <v>831300</v>
      </c>
      <c r="F7" s="18">
        <f t="shared" si="2"/>
        <v>929100</v>
      </c>
      <c r="G7" s="18">
        <f t="shared" si="2"/>
        <v>978000</v>
      </c>
      <c r="H7" s="18">
        <f t="shared" si="2"/>
        <v>1026900</v>
      </c>
      <c r="I7" s="18">
        <f t="shared" si="2"/>
        <v>978000</v>
      </c>
      <c r="J7" s="18">
        <f t="shared" si="2"/>
        <v>880200</v>
      </c>
      <c r="K7" s="18">
        <f t="shared" si="2"/>
        <v>880200</v>
      </c>
      <c r="L7" s="18">
        <f t="shared" si="2"/>
        <v>880200</v>
      </c>
      <c r="M7" s="18">
        <f t="shared" si="2"/>
        <v>831300</v>
      </c>
      <c r="N7" s="19">
        <f>SUM(B7:M7)</f>
        <v>10499808</v>
      </c>
    </row>
    <row r="8" spans="1:14" ht="5.25" customHeight="1" x14ac:dyDescent="0.2">
      <c r="A8" s="13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6"/>
    </row>
    <row r="9" spans="1:14" s="1" customFormat="1" x14ac:dyDescent="0.2">
      <c r="A9" s="20" t="s">
        <v>16</v>
      </c>
      <c r="B9" s="21">
        <f>ROUND(B7*0.35,0)</f>
        <v>260148</v>
      </c>
      <c r="C9" s="21">
        <f t="shared" ref="C9:M9" si="3">ROUND(C7*0.35,0)</f>
        <v>265625</v>
      </c>
      <c r="D9" s="21">
        <f t="shared" si="3"/>
        <v>273840</v>
      </c>
      <c r="E9" s="21">
        <f t="shared" si="3"/>
        <v>290955</v>
      </c>
      <c r="F9" s="21">
        <f t="shared" si="3"/>
        <v>325185</v>
      </c>
      <c r="G9" s="21">
        <f t="shared" si="3"/>
        <v>342300</v>
      </c>
      <c r="H9" s="21">
        <f t="shared" si="3"/>
        <v>359415</v>
      </c>
      <c r="I9" s="21">
        <f t="shared" si="3"/>
        <v>342300</v>
      </c>
      <c r="J9" s="21">
        <f t="shared" si="3"/>
        <v>308070</v>
      </c>
      <c r="K9" s="21">
        <f t="shared" si="3"/>
        <v>308070</v>
      </c>
      <c r="L9" s="21">
        <f t="shared" si="3"/>
        <v>308070</v>
      </c>
      <c r="M9" s="21">
        <f t="shared" si="3"/>
        <v>290955</v>
      </c>
      <c r="N9" s="16">
        <f>SUM(B9:M9)</f>
        <v>3674933</v>
      </c>
    </row>
    <row r="10" spans="1:14" s="48" customFormat="1" ht="11.25" x14ac:dyDescent="0.2">
      <c r="A10" s="45" t="s">
        <v>17</v>
      </c>
      <c r="B10" s="46">
        <f t="shared" ref="B10:M10" si="4">IF(ISERR(B9/B7),0,B9/B7)</f>
        <v>0.35</v>
      </c>
      <c r="C10" s="46">
        <f t="shared" si="4"/>
        <v>0.35</v>
      </c>
      <c r="D10" s="46">
        <f t="shared" si="4"/>
        <v>0.35</v>
      </c>
      <c r="E10" s="46">
        <f t="shared" si="4"/>
        <v>0.35</v>
      </c>
      <c r="F10" s="46">
        <f t="shared" si="4"/>
        <v>0.35</v>
      </c>
      <c r="G10" s="46">
        <f t="shared" si="4"/>
        <v>0.35</v>
      </c>
      <c r="H10" s="46">
        <f t="shared" si="4"/>
        <v>0.35</v>
      </c>
      <c r="I10" s="46">
        <f t="shared" si="4"/>
        <v>0.35</v>
      </c>
      <c r="J10" s="46">
        <f t="shared" si="4"/>
        <v>0.35</v>
      </c>
      <c r="K10" s="46">
        <f t="shared" si="4"/>
        <v>0.35</v>
      </c>
      <c r="L10" s="46">
        <f t="shared" si="4"/>
        <v>0.35</v>
      </c>
      <c r="M10" s="46">
        <f t="shared" si="4"/>
        <v>0.35</v>
      </c>
      <c r="N10" s="47">
        <f>N9/N7</f>
        <v>0.35</v>
      </c>
    </row>
    <row r="11" spans="1:14" x14ac:dyDescent="0.2">
      <c r="A11" s="13" t="s">
        <v>18</v>
      </c>
      <c r="B11" s="14">
        <f>ROUND(B7*0.2163,0)</f>
        <v>160771</v>
      </c>
      <c r="C11" s="14">
        <f t="shared" ref="C11:M11" si="5">ROUND(C7*0.2163,0)</f>
        <v>164156</v>
      </c>
      <c r="D11" s="14">
        <f t="shared" si="5"/>
        <v>169233</v>
      </c>
      <c r="E11" s="14">
        <f t="shared" si="5"/>
        <v>179810</v>
      </c>
      <c r="F11" s="14">
        <f t="shared" si="5"/>
        <v>200964</v>
      </c>
      <c r="G11" s="14">
        <f t="shared" si="5"/>
        <v>211541</v>
      </c>
      <c r="H11" s="14">
        <f t="shared" si="5"/>
        <v>222118</v>
      </c>
      <c r="I11" s="14">
        <f t="shared" si="5"/>
        <v>211541</v>
      </c>
      <c r="J11" s="14">
        <f t="shared" si="5"/>
        <v>190387</v>
      </c>
      <c r="K11" s="14">
        <f t="shared" si="5"/>
        <v>190387</v>
      </c>
      <c r="L11" s="14">
        <f t="shared" si="5"/>
        <v>190387</v>
      </c>
      <c r="M11" s="14">
        <f t="shared" si="5"/>
        <v>179810</v>
      </c>
      <c r="N11" s="16">
        <f>SUM(B11:M11)</f>
        <v>2271105</v>
      </c>
    </row>
    <row r="12" spans="1:14" x14ac:dyDescent="0.2">
      <c r="A12" s="13" t="s">
        <v>19</v>
      </c>
      <c r="B12" s="14">
        <v>2416</v>
      </c>
      <c r="C12" s="14">
        <v>2416</v>
      </c>
      <c r="D12" s="14">
        <v>2416</v>
      </c>
      <c r="E12" s="14">
        <v>2416</v>
      </c>
      <c r="F12" s="14">
        <v>2417</v>
      </c>
      <c r="G12" s="14">
        <v>2417</v>
      </c>
      <c r="H12" s="14">
        <v>2417</v>
      </c>
      <c r="I12" s="14">
        <v>2417</v>
      </c>
      <c r="J12" s="14">
        <v>2417</v>
      </c>
      <c r="K12" s="14">
        <v>2417</v>
      </c>
      <c r="L12" s="14">
        <v>2417</v>
      </c>
      <c r="M12" s="14">
        <v>2417</v>
      </c>
      <c r="N12" s="16">
        <f>SUM(B12:M12)</f>
        <v>29000</v>
      </c>
    </row>
    <row r="13" spans="1:14" s="1" customFormat="1" x14ac:dyDescent="0.2">
      <c r="A13" s="20" t="s">
        <v>20</v>
      </c>
      <c r="B13" s="21">
        <f t="shared" ref="B13:M13" si="6">SUM(B11:B12)</f>
        <v>163187</v>
      </c>
      <c r="C13" s="21">
        <f t="shared" si="6"/>
        <v>166572</v>
      </c>
      <c r="D13" s="21">
        <f t="shared" si="6"/>
        <v>171649</v>
      </c>
      <c r="E13" s="21">
        <f t="shared" si="6"/>
        <v>182226</v>
      </c>
      <c r="F13" s="21">
        <f t="shared" si="6"/>
        <v>203381</v>
      </c>
      <c r="G13" s="21">
        <f t="shared" si="6"/>
        <v>213958</v>
      </c>
      <c r="H13" s="21">
        <f t="shared" si="6"/>
        <v>224535</v>
      </c>
      <c r="I13" s="21">
        <f t="shared" si="6"/>
        <v>213958</v>
      </c>
      <c r="J13" s="21">
        <f t="shared" si="6"/>
        <v>192804</v>
      </c>
      <c r="K13" s="21">
        <f t="shared" si="6"/>
        <v>192804</v>
      </c>
      <c r="L13" s="21">
        <f t="shared" si="6"/>
        <v>192804</v>
      </c>
      <c r="M13" s="21">
        <f t="shared" si="6"/>
        <v>182227</v>
      </c>
      <c r="N13" s="16">
        <f>SUM(B13:M13)</f>
        <v>2300105</v>
      </c>
    </row>
    <row r="14" spans="1:14" s="48" customFormat="1" ht="12" thickBot="1" x14ac:dyDescent="0.25">
      <c r="A14" s="45" t="s">
        <v>21</v>
      </c>
      <c r="B14" s="46">
        <f t="shared" ref="B14:M14" si="7">IF(ISERR(SUM(B11:B12)/B7),0,SUM(B11:B12)/B7)</f>
        <v>0.22</v>
      </c>
      <c r="C14" s="46">
        <f t="shared" si="7"/>
        <v>0.219</v>
      </c>
      <c r="D14" s="46">
        <f t="shared" si="7"/>
        <v>0.219</v>
      </c>
      <c r="E14" s="46">
        <f t="shared" si="7"/>
        <v>0.219</v>
      </c>
      <c r="F14" s="46">
        <f t="shared" si="7"/>
        <v>0.219</v>
      </c>
      <c r="G14" s="46">
        <f t="shared" si="7"/>
        <v>0.219</v>
      </c>
      <c r="H14" s="46">
        <f t="shared" si="7"/>
        <v>0.219</v>
      </c>
      <c r="I14" s="46">
        <f t="shared" si="7"/>
        <v>0.219</v>
      </c>
      <c r="J14" s="46">
        <f t="shared" si="7"/>
        <v>0.219</v>
      </c>
      <c r="K14" s="46">
        <f t="shared" si="7"/>
        <v>0.219</v>
      </c>
      <c r="L14" s="46">
        <f t="shared" si="7"/>
        <v>0.219</v>
      </c>
      <c r="M14" s="46">
        <f t="shared" si="7"/>
        <v>0.219</v>
      </c>
      <c r="N14" s="47">
        <f>SUM(N11:N12)/N7</f>
        <v>0.219</v>
      </c>
    </row>
    <row r="15" spans="1:14" s="1" customFormat="1" ht="14.25" thickTop="1" thickBot="1" x14ac:dyDescent="0.25">
      <c r="A15" s="22" t="s">
        <v>22</v>
      </c>
      <c r="B15" s="23">
        <f t="shared" ref="B15:M15" si="8">+B9+B13</f>
        <v>423335</v>
      </c>
      <c r="C15" s="23">
        <f t="shared" si="8"/>
        <v>432197</v>
      </c>
      <c r="D15" s="23">
        <f t="shared" si="8"/>
        <v>445489</v>
      </c>
      <c r="E15" s="23">
        <f t="shared" si="8"/>
        <v>473181</v>
      </c>
      <c r="F15" s="23">
        <f t="shared" si="8"/>
        <v>528566</v>
      </c>
      <c r="G15" s="23">
        <f t="shared" si="8"/>
        <v>556258</v>
      </c>
      <c r="H15" s="23">
        <f t="shared" si="8"/>
        <v>583950</v>
      </c>
      <c r="I15" s="23">
        <f t="shared" si="8"/>
        <v>556258</v>
      </c>
      <c r="J15" s="23">
        <f t="shared" si="8"/>
        <v>500874</v>
      </c>
      <c r="K15" s="23">
        <f t="shared" si="8"/>
        <v>500874</v>
      </c>
      <c r="L15" s="23">
        <f t="shared" si="8"/>
        <v>500874</v>
      </c>
      <c r="M15" s="23">
        <f t="shared" si="8"/>
        <v>473182</v>
      </c>
      <c r="N15" s="24">
        <f>SUM(N9+N13)</f>
        <v>5975038</v>
      </c>
    </row>
    <row r="16" spans="1:14" ht="4.5" customHeight="1" thickTop="1" thickBot="1" x14ac:dyDescent="0.25">
      <c r="A16" s="13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6"/>
    </row>
    <row r="17" spans="1:14" s="1" customFormat="1" x14ac:dyDescent="0.2">
      <c r="A17" s="25" t="s">
        <v>23</v>
      </c>
      <c r="B17" s="26">
        <f t="shared" ref="B17:N17" si="9">B7-B15</f>
        <v>319945</v>
      </c>
      <c r="C17" s="26">
        <f t="shared" si="9"/>
        <v>326731</v>
      </c>
      <c r="D17" s="26">
        <f t="shared" si="9"/>
        <v>336911</v>
      </c>
      <c r="E17" s="26">
        <f t="shared" si="9"/>
        <v>358119</v>
      </c>
      <c r="F17" s="26">
        <f t="shared" si="9"/>
        <v>400534</v>
      </c>
      <c r="G17" s="26">
        <f t="shared" si="9"/>
        <v>421742</v>
      </c>
      <c r="H17" s="26">
        <f t="shared" si="9"/>
        <v>442950</v>
      </c>
      <c r="I17" s="26">
        <f t="shared" si="9"/>
        <v>421742</v>
      </c>
      <c r="J17" s="26">
        <f t="shared" si="9"/>
        <v>379326</v>
      </c>
      <c r="K17" s="26">
        <f t="shared" si="9"/>
        <v>379326</v>
      </c>
      <c r="L17" s="26">
        <f t="shared" si="9"/>
        <v>379326</v>
      </c>
      <c r="M17" s="26">
        <f t="shared" si="9"/>
        <v>358118</v>
      </c>
      <c r="N17" s="27">
        <f t="shared" si="9"/>
        <v>4524770</v>
      </c>
    </row>
    <row r="18" spans="1:14" s="48" customFormat="1" ht="11.25" x14ac:dyDescent="0.2">
      <c r="A18" s="45" t="s">
        <v>24</v>
      </c>
      <c r="B18" s="46">
        <f t="shared" ref="B18:M18" si="10">IF(ISERR(B17/B7),0,B17/B7)</f>
        <v>0.43</v>
      </c>
      <c r="C18" s="46">
        <f t="shared" si="10"/>
        <v>0.43099999999999999</v>
      </c>
      <c r="D18" s="46">
        <f t="shared" si="10"/>
        <v>0.43099999999999999</v>
      </c>
      <c r="E18" s="46">
        <f t="shared" si="10"/>
        <v>0.43099999999999999</v>
      </c>
      <c r="F18" s="46">
        <f t="shared" si="10"/>
        <v>0.43099999999999999</v>
      </c>
      <c r="G18" s="46">
        <f t="shared" si="10"/>
        <v>0.43099999999999999</v>
      </c>
      <c r="H18" s="46">
        <f t="shared" si="10"/>
        <v>0.43099999999999999</v>
      </c>
      <c r="I18" s="46">
        <f t="shared" si="10"/>
        <v>0.43099999999999999</v>
      </c>
      <c r="J18" s="46">
        <f t="shared" si="10"/>
        <v>0.43099999999999999</v>
      </c>
      <c r="K18" s="46">
        <f t="shared" si="10"/>
        <v>0.43099999999999999</v>
      </c>
      <c r="L18" s="46">
        <f t="shared" si="10"/>
        <v>0.43099999999999999</v>
      </c>
      <c r="M18" s="46">
        <f t="shared" si="10"/>
        <v>0.43099999999999999</v>
      </c>
      <c r="N18" s="47">
        <f>N17/N7</f>
        <v>0.43099999999999999</v>
      </c>
    </row>
    <row r="19" spans="1:14" x14ac:dyDescent="0.2">
      <c r="A19" s="13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49"/>
    </row>
    <row r="20" spans="1:14" x14ac:dyDescent="0.2">
      <c r="A20" s="13" t="s">
        <v>39</v>
      </c>
      <c r="B20" s="14">
        <v>2785</v>
      </c>
      <c r="C20" s="14">
        <v>2785</v>
      </c>
      <c r="D20" s="14">
        <v>2785</v>
      </c>
      <c r="E20" s="14">
        <v>2785</v>
      </c>
      <c r="F20" s="14">
        <v>2785</v>
      </c>
      <c r="G20" s="14">
        <v>2785</v>
      </c>
      <c r="H20" s="14">
        <v>2785</v>
      </c>
      <c r="I20" s="14">
        <v>2785</v>
      </c>
      <c r="J20" s="14">
        <v>2785</v>
      </c>
      <c r="K20" s="14">
        <v>2785</v>
      </c>
      <c r="L20" s="14">
        <v>2785</v>
      </c>
      <c r="M20" s="14">
        <v>2785</v>
      </c>
      <c r="N20" s="49">
        <f t="shared" ref="N20:N37" si="11">SUM(B20:M20)</f>
        <v>33420</v>
      </c>
    </row>
    <row r="21" spans="1:14" x14ac:dyDescent="0.2">
      <c r="A21" s="13" t="s">
        <v>40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49">
        <f t="shared" si="11"/>
        <v>0</v>
      </c>
    </row>
    <row r="22" spans="1:14" x14ac:dyDescent="0.2">
      <c r="A22" s="13" t="s">
        <v>41</v>
      </c>
      <c r="B22" s="14">
        <v>773</v>
      </c>
      <c r="C22" s="14">
        <v>773</v>
      </c>
      <c r="D22" s="14">
        <v>773</v>
      </c>
      <c r="E22" s="14">
        <v>773</v>
      </c>
      <c r="F22" s="14">
        <v>773</v>
      </c>
      <c r="G22" s="14">
        <v>773</v>
      </c>
      <c r="H22" s="14">
        <v>773</v>
      </c>
      <c r="I22" s="14">
        <v>773</v>
      </c>
      <c r="J22" s="14">
        <v>773</v>
      </c>
      <c r="K22" s="14">
        <v>773</v>
      </c>
      <c r="L22" s="14">
        <v>773</v>
      </c>
      <c r="M22" s="14">
        <v>773</v>
      </c>
      <c r="N22" s="49">
        <f t="shared" si="11"/>
        <v>9276</v>
      </c>
    </row>
    <row r="23" spans="1:14" x14ac:dyDescent="0.2">
      <c r="A23" s="13" t="s">
        <v>42</v>
      </c>
      <c r="B23" s="14">
        <v>500</v>
      </c>
      <c r="C23" s="14">
        <v>500</v>
      </c>
      <c r="D23" s="14">
        <v>500</v>
      </c>
      <c r="E23" s="14">
        <v>500</v>
      </c>
      <c r="F23" s="14">
        <v>500</v>
      </c>
      <c r="G23" s="14">
        <v>500</v>
      </c>
      <c r="H23" s="14">
        <v>500</v>
      </c>
      <c r="I23" s="14">
        <v>500</v>
      </c>
      <c r="J23" s="14">
        <v>500</v>
      </c>
      <c r="K23" s="14">
        <v>500</v>
      </c>
      <c r="L23" s="14">
        <v>500</v>
      </c>
      <c r="M23" s="14">
        <v>500</v>
      </c>
      <c r="N23" s="49">
        <f t="shared" si="11"/>
        <v>6000</v>
      </c>
    </row>
    <row r="24" spans="1:14" x14ac:dyDescent="0.2">
      <c r="A24" s="13" t="s">
        <v>43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49">
        <f t="shared" si="11"/>
        <v>0</v>
      </c>
    </row>
    <row r="25" spans="1:14" x14ac:dyDescent="0.2">
      <c r="A25" s="13" t="s">
        <v>44</v>
      </c>
      <c r="B25" s="14">
        <v>3500</v>
      </c>
      <c r="C25" s="14">
        <v>3500</v>
      </c>
      <c r="D25" s="14">
        <v>3500</v>
      </c>
      <c r="E25" s="14">
        <v>3500</v>
      </c>
      <c r="F25" s="14">
        <v>3500</v>
      </c>
      <c r="G25" s="14">
        <v>3500</v>
      </c>
      <c r="H25" s="14">
        <v>3500</v>
      </c>
      <c r="I25" s="14">
        <v>3500</v>
      </c>
      <c r="J25" s="14">
        <v>3500</v>
      </c>
      <c r="K25" s="14">
        <v>3500</v>
      </c>
      <c r="L25" s="14">
        <v>3500</v>
      </c>
      <c r="M25" s="14">
        <v>3500</v>
      </c>
      <c r="N25" s="49">
        <f t="shared" si="11"/>
        <v>42000</v>
      </c>
    </row>
    <row r="26" spans="1:14" x14ac:dyDescent="0.2">
      <c r="A26" s="13" t="s">
        <v>45</v>
      </c>
      <c r="B26" s="14">
        <v>5500</v>
      </c>
      <c r="C26" s="14">
        <v>5500</v>
      </c>
      <c r="D26" s="14">
        <v>5500</v>
      </c>
      <c r="E26" s="14">
        <v>5500</v>
      </c>
      <c r="F26" s="14">
        <v>5500</v>
      </c>
      <c r="G26" s="14">
        <v>5500</v>
      </c>
      <c r="H26" s="14">
        <v>5500</v>
      </c>
      <c r="I26" s="14">
        <v>5500</v>
      </c>
      <c r="J26" s="14">
        <v>5500</v>
      </c>
      <c r="K26" s="14">
        <v>5500</v>
      </c>
      <c r="L26" s="14">
        <v>5500</v>
      </c>
      <c r="M26" s="14">
        <v>5500</v>
      </c>
      <c r="N26" s="49">
        <f t="shared" si="11"/>
        <v>66000</v>
      </c>
    </row>
    <row r="27" spans="1:14" x14ac:dyDescent="0.2">
      <c r="A27" s="13" t="s">
        <v>46</v>
      </c>
      <c r="B27" s="14">
        <v>1800</v>
      </c>
      <c r="C27" s="14">
        <v>1800</v>
      </c>
      <c r="D27" s="14">
        <v>1800</v>
      </c>
      <c r="E27" s="14">
        <v>1800</v>
      </c>
      <c r="F27" s="14">
        <v>1800</v>
      </c>
      <c r="G27" s="14">
        <v>1800</v>
      </c>
      <c r="H27" s="14">
        <v>1800</v>
      </c>
      <c r="I27" s="14">
        <v>1800</v>
      </c>
      <c r="J27" s="14">
        <v>1800</v>
      </c>
      <c r="K27" s="14">
        <v>1800</v>
      </c>
      <c r="L27" s="14">
        <v>1800</v>
      </c>
      <c r="M27" s="14">
        <v>1800</v>
      </c>
      <c r="N27" s="49">
        <f t="shared" si="11"/>
        <v>21600</v>
      </c>
    </row>
    <row r="28" spans="1:14" x14ac:dyDescent="0.2">
      <c r="A28" s="13" t="s">
        <v>47</v>
      </c>
      <c r="B28" s="14">
        <v>11666</v>
      </c>
      <c r="C28" s="14">
        <v>11666</v>
      </c>
      <c r="D28" s="14">
        <v>11666</v>
      </c>
      <c r="E28" s="14">
        <v>11666</v>
      </c>
      <c r="F28" s="14">
        <v>11667</v>
      </c>
      <c r="G28" s="14">
        <v>11667</v>
      </c>
      <c r="H28" s="14">
        <v>11667</v>
      </c>
      <c r="I28" s="14">
        <v>11667</v>
      </c>
      <c r="J28" s="14">
        <v>11667</v>
      </c>
      <c r="K28" s="14">
        <v>11667</v>
      </c>
      <c r="L28" s="14">
        <v>11667</v>
      </c>
      <c r="M28" s="14">
        <v>11667</v>
      </c>
      <c r="N28" s="49">
        <f t="shared" si="11"/>
        <v>140000</v>
      </c>
    </row>
    <row r="29" spans="1:14" x14ac:dyDescent="0.2">
      <c r="A29" s="13" t="s">
        <v>48</v>
      </c>
      <c r="B29" s="14">
        <v>3000</v>
      </c>
      <c r="C29" s="14">
        <v>3000</v>
      </c>
      <c r="D29" s="14">
        <v>3000</v>
      </c>
      <c r="E29" s="14">
        <v>3000</v>
      </c>
      <c r="F29" s="14">
        <v>3000</v>
      </c>
      <c r="G29" s="14">
        <v>3000</v>
      </c>
      <c r="H29" s="14">
        <v>3000</v>
      </c>
      <c r="I29" s="14">
        <v>3000</v>
      </c>
      <c r="J29" s="14">
        <v>3000</v>
      </c>
      <c r="K29" s="14">
        <v>3000</v>
      </c>
      <c r="L29" s="14">
        <v>3000</v>
      </c>
      <c r="M29" s="14">
        <v>3000</v>
      </c>
      <c r="N29" s="49">
        <f t="shared" si="11"/>
        <v>36000</v>
      </c>
    </row>
    <row r="30" spans="1:14" x14ac:dyDescent="0.2">
      <c r="A30" s="13" t="s">
        <v>49</v>
      </c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49">
        <f t="shared" si="11"/>
        <v>0</v>
      </c>
    </row>
    <row r="31" spans="1:14" x14ac:dyDescent="0.2">
      <c r="A31" s="13" t="s">
        <v>50</v>
      </c>
      <c r="B31" s="14">
        <v>2600</v>
      </c>
      <c r="C31" s="14">
        <v>2600</v>
      </c>
      <c r="D31" s="14">
        <v>2600</v>
      </c>
      <c r="E31" s="14">
        <v>2600</v>
      </c>
      <c r="F31" s="14">
        <v>2600</v>
      </c>
      <c r="G31" s="14">
        <v>2600</v>
      </c>
      <c r="H31" s="14">
        <v>2600</v>
      </c>
      <c r="I31" s="14">
        <v>2600</v>
      </c>
      <c r="J31" s="14">
        <v>2600</v>
      </c>
      <c r="K31" s="14">
        <v>2600</v>
      </c>
      <c r="L31" s="14">
        <v>2600</v>
      </c>
      <c r="M31" s="14">
        <v>2600</v>
      </c>
      <c r="N31" s="49">
        <f t="shared" si="11"/>
        <v>31200</v>
      </c>
    </row>
    <row r="32" spans="1:14" x14ac:dyDescent="0.2">
      <c r="A32" s="13" t="s">
        <v>51</v>
      </c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49">
        <f t="shared" si="11"/>
        <v>0</v>
      </c>
    </row>
    <row r="33" spans="1:14" x14ac:dyDescent="0.2">
      <c r="A33" s="13" t="s">
        <v>52</v>
      </c>
      <c r="B33" s="14">
        <v>31700</v>
      </c>
      <c r="C33" s="14">
        <v>31700</v>
      </c>
      <c r="D33" s="14">
        <v>31700</v>
      </c>
      <c r="E33" s="14">
        <v>31700</v>
      </c>
      <c r="F33" s="14">
        <v>31700</v>
      </c>
      <c r="G33" s="14">
        <v>31700</v>
      </c>
      <c r="H33" s="14">
        <v>31700</v>
      </c>
      <c r="I33" s="14">
        <v>31700</v>
      </c>
      <c r="J33" s="14">
        <v>31700</v>
      </c>
      <c r="K33" s="14">
        <v>31700</v>
      </c>
      <c r="L33" s="14">
        <v>31700</v>
      </c>
      <c r="M33" s="14">
        <v>31700</v>
      </c>
      <c r="N33" s="49">
        <f t="shared" si="11"/>
        <v>380400</v>
      </c>
    </row>
    <row r="34" spans="1:14" x14ac:dyDescent="0.2">
      <c r="A34" s="13" t="s">
        <v>53</v>
      </c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49">
        <f t="shared" si="11"/>
        <v>0</v>
      </c>
    </row>
    <row r="35" spans="1:14" x14ac:dyDescent="0.2">
      <c r="A35" s="13" t="s">
        <v>54</v>
      </c>
      <c r="B35" s="14">
        <v>1000</v>
      </c>
      <c r="C35" s="14">
        <v>1000</v>
      </c>
      <c r="D35" s="14">
        <v>1000</v>
      </c>
      <c r="E35" s="14">
        <v>1000</v>
      </c>
      <c r="F35" s="14">
        <v>1000</v>
      </c>
      <c r="G35" s="14">
        <v>1000</v>
      </c>
      <c r="H35" s="14">
        <v>1000</v>
      </c>
      <c r="I35" s="14">
        <v>1000</v>
      </c>
      <c r="J35" s="14">
        <v>1000</v>
      </c>
      <c r="K35" s="14">
        <v>1000</v>
      </c>
      <c r="L35" s="14">
        <v>1000</v>
      </c>
      <c r="M35" s="14">
        <v>1000</v>
      </c>
      <c r="N35" s="49">
        <f t="shared" si="11"/>
        <v>12000</v>
      </c>
    </row>
    <row r="36" spans="1:14" x14ac:dyDescent="0.2">
      <c r="A36" s="13" t="s">
        <v>55</v>
      </c>
      <c r="B36" s="14">
        <v>3500</v>
      </c>
      <c r="C36" s="14">
        <v>3500</v>
      </c>
      <c r="D36" s="14">
        <v>3500</v>
      </c>
      <c r="E36" s="14">
        <v>3500</v>
      </c>
      <c r="F36" s="14">
        <v>3500</v>
      </c>
      <c r="G36" s="14">
        <v>3500</v>
      </c>
      <c r="H36" s="14">
        <v>3500</v>
      </c>
      <c r="I36" s="14">
        <v>3500</v>
      </c>
      <c r="J36" s="14">
        <v>3500</v>
      </c>
      <c r="K36" s="14">
        <v>3500</v>
      </c>
      <c r="L36" s="14">
        <v>3500</v>
      </c>
      <c r="M36" s="14">
        <v>3500</v>
      </c>
      <c r="N36" s="49">
        <f t="shared" si="11"/>
        <v>42000</v>
      </c>
    </row>
    <row r="37" spans="1:14" x14ac:dyDescent="0.2">
      <c r="A37" s="13" t="s">
        <v>56</v>
      </c>
      <c r="B37" s="14">
        <v>4900</v>
      </c>
      <c r="C37" s="14">
        <v>4900</v>
      </c>
      <c r="D37" s="14">
        <v>4900</v>
      </c>
      <c r="E37" s="14">
        <v>4900</v>
      </c>
      <c r="F37" s="14">
        <v>4900</v>
      </c>
      <c r="G37" s="14">
        <v>4900</v>
      </c>
      <c r="H37" s="14">
        <v>4900</v>
      </c>
      <c r="I37" s="14">
        <v>4900</v>
      </c>
      <c r="J37" s="14">
        <v>4900</v>
      </c>
      <c r="K37" s="14">
        <v>4900</v>
      </c>
      <c r="L37" s="14">
        <v>4900</v>
      </c>
      <c r="M37" s="14">
        <v>4900</v>
      </c>
      <c r="N37" s="49">
        <f t="shared" si="11"/>
        <v>58800</v>
      </c>
    </row>
    <row r="38" spans="1:14" ht="14.1" customHeight="1" x14ac:dyDescent="0.2">
      <c r="A38" s="13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6"/>
    </row>
    <row r="39" spans="1:14" ht="14.1" customHeight="1" x14ac:dyDescent="0.2">
      <c r="A39" s="31" t="s">
        <v>25</v>
      </c>
      <c r="B39" s="32">
        <f t="shared" ref="B39:M39" si="12">SUM(B20:B37)</f>
        <v>73224</v>
      </c>
      <c r="C39" s="32">
        <f t="shared" si="12"/>
        <v>73224</v>
      </c>
      <c r="D39" s="32">
        <f t="shared" si="12"/>
        <v>73224</v>
      </c>
      <c r="E39" s="32">
        <f t="shared" si="12"/>
        <v>73224</v>
      </c>
      <c r="F39" s="32">
        <f t="shared" si="12"/>
        <v>73225</v>
      </c>
      <c r="G39" s="32">
        <f t="shared" si="12"/>
        <v>73225</v>
      </c>
      <c r="H39" s="32">
        <f t="shared" si="12"/>
        <v>73225</v>
      </c>
      <c r="I39" s="32">
        <f t="shared" si="12"/>
        <v>73225</v>
      </c>
      <c r="J39" s="32">
        <f t="shared" si="12"/>
        <v>73225</v>
      </c>
      <c r="K39" s="32">
        <f t="shared" si="12"/>
        <v>73225</v>
      </c>
      <c r="L39" s="32">
        <f t="shared" si="12"/>
        <v>73225</v>
      </c>
      <c r="M39" s="32">
        <f t="shared" si="12"/>
        <v>73225</v>
      </c>
      <c r="N39" s="33">
        <f>SUM(B39:M39)</f>
        <v>878696</v>
      </c>
    </row>
    <row r="40" spans="1:14" s="1" customFormat="1" ht="14.1" customHeight="1" thickBot="1" x14ac:dyDescent="0.25">
      <c r="A40" s="28" t="s">
        <v>26</v>
      </c>
      <c r="B40" s="29">
        <f t="shared" ref="B40:L40" si="13">IF(ISERR(B39/B7),0,B39/B7)</f>
        <v>9.9000000000000005E-2</v>
      </c>
      <c r="C40" s="29">
        <f t="shared" si="13"/>
        <v>9.6000000000000002E-2</v>
      </c>
      <c r="D40" s="29">
        <f t="shared" si="13"/>
        <v>9.4E-2</v>
      </c>
      <c r="E40" s="29">
        <f t="shared" si="13"/>
        <v>8.7999999999999995E-2</v>
      </c>
      <c r="F40" s="29">
        <f t="shared" si="13"/>
        <v>7.9000000000000001E-2</v>
      </c>
      <c r="G40" s="29">
        <f t="shared" si="13"/>
        <v>7.4999999999999997E-2</v>
      </c>
      <c r="H40" s="29">
        <f t="shared" si="13"/>
        <v>7.0999999999999994E-2</v>
      </c>
      <c r="I40" s="29">
        <f t="shared" si="13"/>
        <v>7.4999999999999997E-2</v>
      </c>
      <c r="J40" s="29">
        <f t="shared" si="13"/>
        <v>8.3000000000000004E-2</v>
      </c>
      <c r="K40" s="29">
        <f t="shared" si="13"/>
        <v>8.3000000000000004E-2</v>
      </c>
      <c r="L40" s="29">
        <f t="shared" si="13"/>
        <v>8.3000000000000004E-2</v>
      </c>
      <c r="M40" s="29">
        <f>IF(ISERR(M39/M5),0,M39/M5)</f>
        <v>8.5999999999999993E-2</v>
      </c>
      <c r="N40" s="30">
        <f>N39/N7</f>
        <v>8.4000000000000005E-2</v>
      </c>
    </row>
    <row r="41" spans="1:14" s="1" customFormat="1" ht="13.5" thickBot="1" x14ac:dyDescent="0.25">
      <c r="A41" s="17" t="s">
        <v>27</v>
      </c>
      <c r="B41" s="18">
        <f t="shared" ref="B41:N41" si="14">+B17-B39</f>
        <v>246721</v>
      </c>
      <c r="C41" s="18">
        <f t="shared" si="14"/>
        <v>253507</v>
      </c>
      <c r="D41" s="18">
        <f t="shared" si="14"/>
        <v>263687</v>
      </c>
      <c r="E41" s="18">
        <f t="shared" si="14"/>
        <v>284895</v>
      </c>
      <c r="F41" s="18">
        <f t="shared" si="14"/>
        <v>327309</v>
      </c>
      <c r="G41" s="18">
        <f t="shared" si="14"/>
        <v>348517</v>
      </c>
      <c r="H41" s="18">
        <f t="shared" si="14"/>
        <v>369725</v>
      </c>
      <c r="I41" s="18">
        <f t="shared" si="14"/>
        <v>348517</v>
      </c>
      <c r="J41" s="18">
        <f t="shared" si="14"/>
        <v>306101</v>
      </c>
      <c r="K41" s="18">
        <f t="shared" si="14"/>
        <v>306101</v>
      </c>
      <c r="L41" s="18">
        <f t="shared" si="14"/>
        <v>306101</v>
      </c>
      <c r="M41" s="18">
        <f t="shared" si="14"/>
        <v>284893</v>
      </c>
      <c r="N41" s="19">
        <f t="shared" si="14"/>
        <v>3646074</v>
      </c>
    </row>
    <row r="42" spans="1:14" s="1" customFormat="1" ht="13.5" thickBot="1" x14ac:dyDescent="0.25">
      <c r="A42" s="28" t="s">
        <v>24</v>
      </c>
      <c r="B42" s="29">
        <f t="shared" ref="B42:M42" si="15">IF(ISERR(B41/B7),0,B41/B7)</f>
        <v>0.33200000000000002</v>
      </c>
      <c r="C42" s="29">
        <f t="shared" si="15"/>
        <v>0.33400000000000002</v>
      </c>
      <c r="D42" s="29">
        <f t="shared" si="15"/>
        <v>0.33700000000000002</v>
      </c>
      <c r="E42" s="29">
        <f t="shared" si="15"/>
        <v>0.34300000000000003</v>
      </c>
      <c r="F42" s="29">
        <f t="shared" si="15"/>
        <v>0.35199999999999998</v>
      </c>
      <c r="G42" s="29">
        <f t="shared" si="15"/>
        <v>0.35599999999999998</v>
      </c>
      <c r="H42" s="29">
        <f t="shared" si="15"/>
        <v>0.36</v>
      </c>
      <c r="I42" s="29">
        <f t="shared" si="15"/>
        <v>0.35599999999999998</v>
      </c>
      <c r="J42" s="29">
        <f t="shared" si="15"/>
        <v>0.34799999999999998</v>
      </c>
      <c r="K42" s="29">
        <f t="shared" si="15"/>
        <v>0.34799999999999998</v>
      </c>
      <c r="L42" s="29">
        <f t="shared" si="15"/>
        <v>0.34799999999999998</v>
      </c>
      <c r="M42" s="29">
        <f t="shared" si="15"/>
        <v>0.34300000000000003</v>
      </c>
      <c r="N42" s="30">
        <f>N41/N7</f>
        <v>0.34699999999999998</v>
      </c>
    </row>
    <row r="43" spans="1:14" s="1" customFormat="1" x14ac:dyDescent="0.2">
      <c r="A43" s="20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16"/>
    </row>
    <row r="44" spans="1:14" s="1" customFormat="1" x14ac:dyDescent="0.2">
      <c r="A44" s="20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16"/>
    </row>
    <row r="45" spans="1:14" s="1" customFormat="1" x14ac:dyDescent="0.2">
      <c r="A45" s="34" t="s">
        <v>28</v>
      </c>
      <c r="B45" s="35">
        <v>39167</v>
      </c>
      <c r="C45" s="35">
        <v>39167</v>
      </c>
      <c r="D45" s="35">
        <v>39167</v>
      </c>
      <c r="E45" s="35">
        <v>39167</v>
      </c>
      <c r="F45" s="35">
        <v>39167</v>
      </c>
      <c r="G45" s="35">
        <v>39167</v>
      </c>
      <c r="H45" s="35">
        <v>39167</v>
      </c>
      <c r="I45" s="35">
        <v>39167</v>
      </c>
      <c r="J45" s="35">
        <v>39167</v>
      </c>
      <c r="K45" s="35">
        <v>39167</v>
      </c>
      <c r="L45" s="35">
        <v>39167</v>
      </c>
      <c r="M45" s="35">
        <v>39167</v>
      </c>
      <c r="N45" s="16">
        <f>SUM(B45:M45)</f>
        <v>470004</v>
      </c>
    </row>
    <row r="46" spans="1:14" s="1" customFormat="1" x14ac:dyDescent="0.2">
      <c r="A46" s="34" t="s">
        <v>29</v>
      </c>
      <c r="B46" s="35">
        <v>3333</v>
      </c>
      <c r="C46" s="35">
        <v>3333</v>
      </c>
      <c r="D46" s="35">
        <v>3333</v>
      </c>
      <c r="E46" s="35">
        <v>3333</v>
      </c>
      <c r="F46" s="35">
        <v>3333</v>
      </c>
      <c r="G46" s="35">
        <v>3333</v>
      </c>
      <c r="H46" s="35">
        <v>3333</v>
      </c>
      <c r="I46" s="35">
        <v>3333</v>
      </c>
      <c r="J46" s="35">
        <v>3334</v>
      </c>
      <c r="K46" s="35">
        <v>3334</v>
      </c>
      <c r="L46" s="35">
        <v>3334</v>
      </c>
      <c r="M46" s="35">
        <v>3334</v>
      </c>
      <c r="N46" s="16">
        <f>SUM(B46:M46)</f>
        <v>40000</v>
      </c>
    </row>
    <row r="47" spans="1:14" s="1" customFormat="1" x14ac:dyDescent="0.2">
      <c r="A47" s="36" t="s">
        <v>2</v>
      </c>
      <c r="B47" s="37">
        <v>87333</v>
      </c>
      <c r="C47" s="37">
        <v>87333</v>
      </c>
      <c r="D47" s="37">
        <v>87333</v>
      </c>
      <c r="E47" s="37">
        <v>87333</v>
      </c>
      <c r="F47" s="37">
        <v>87333</v>
      </c>
      <c r="G47" s="37">
        <v>87333</v>
      </c>
      <c r="H47" s="37">
        <v>87333</v>
      </c>
      <c r="I47" s="37">
        <v>87333</v>
      </c>
      <c r="J47" s="37">
        <v>87334</v>
      </c>
      <c r="K47" s="37">
        <v>87334</v>
      </c>
      <c r="L47" s="37">
        <v>87334</v>
      </c>
      <c r="M47" s="37">
        <v>87334</v>
      </c>
      <c r="N47" s="33">
        <f>SUM(B47:M47)</f>
        <v>1048000</v>
      </c>
    </row>
    <row r="48" spans="1:14" s="1" customFormat="1" x14ac:dyDescent="0.2">
      <c r="A48" s="36" t="s">
        <v>30</v>
      </c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3">
        <f>SUM(B48:M48)</f>
        <v>0</v>
      </c>
    </row>
    <row r="49" spans="1:14" ht="14.25" customHeight="1" thickBot="1" x14ac:dyDescent="0.25">
      <c r="A49" s="13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16"/>
    </row>
    <row r="50" spans="1:14" s="1" customFormat="1" ht="14.25" thickTop="1" thickBot="1" x14ac:dyDescent="0.25">
      <c r="A50" s="17" t="s">
        <v>31</v>
      </c>
      <c r="B50" s="18">
        <f t="shared" ref="B50:N50" si="16">+B41-B45-B46-B47-B48</f>
        <v>116888</v>
      </c>
      <c r="C50" s="18">
        <f t="shared" si="16"/>
        <v>123674</v>
      </c>
      <c r="D50" s="18">
        <f t="shared" si="16"/>
        <v>133854</v>
      </c>
      <c r="E50" s="18">
        <f t="shared" si="16"/>
        <v>155062</v>
      </c>
      <c r="F50" s="18">
        <f t="shared" si="16"/>
        <v>197476</v>
      </c>
      <c r="G50" s="18">
        <f t="shared" si="16"/>
        <v>218684</v>
      </c>
      <c r="H50" s="18">
        <f t="shared" si="16"/>
        <v>239892</v>
      </c>
      <c r="I50" s="18">
        <f t="shared" si="16"/>
        <v>218684</v>
      </c>
      <c r="J50" s="18">
        <f t="shared" si="16"/>
        <v>176266</v>
      </c>
      <c r="K50" s="18">
        <f t="shared" si="16"/>
        <v>176266</v>
      </c>
      <c r="L50" s="18">
        <f t="shared" si="16"/>
        <v>176266</v>
      </c>
      <c r="M50" s="18">
        <f t="shared" si="16"/>
        <v>155058</v>
      </c>
      <c r="N50" s="24">
        <f t="shared" si="16"/>
        <v>2088070</v>
      </c>
    </row>
    <row r="51" spans="1:14" s="1" customFormat="1" ht="13.5" thickBot="1" x14ac:dyDescent="0.25">
      <c r="A51" s="28" t="s">
        <v>24</v>
      </c>
      <c r="B51" s="29">
        <f t="shared" ref="B51:M51" si="17">IF(ISERR(B50/B7),0,B50/B7)</f>
        <v>0.157</v>
      </c>
      <c r="C51" s="29">
        <f t="shared" si="17"/>
        <v>0.16300000000000001</v>
      </c>
      <c r="D51" s="29">
        <f t="shared" si="17"/>
        <v>0.17100000000000001</v>
      </c>
      <c r="E51" s="29">
        <f t="shared" si="17"/>
        <v>0.187</v>
      </c>
      <c r="F51" s="29">
        <f t="shared" si="17"/>
        <v>0.21299999999999999</v>
      </c>
      <c r="G51" s="29">
        <f t="shared" si="17"/>
        <v>0.224</v>
      </c>
      <c r="H51" s="29">
        <f t="shared" si="17"/>
        <v>0.23400000000000001</v>
      </c>
      <c r="I51" s="29">
        <f t="shared" si="17"/>
        <v>0.224</v>
      </c>
      <c r="J51" s="29">
        <f t="shared" si="17"/>
        <v>0.2</v>
      </c>
      <c r="K51" s="29">
        <f t="shared" si="17"/>
        <v>0.2</v>
      </c>
      <c r="L51" s="29">
        <f t="shared" si="17"/>
        <v>0.2</v>
      </c>
      <c r="M51" s="29">
        <f t="shared" si="17"/>
        <v>0.187</v>
      </c>
      <c r="N51" s="30">
        <f>N50/N7</f>
        <v>0.19900000000000001</v>
      </c>
    </row>
    <row r="52" spans="1:14" ht="6" hidden="1" customHeight="1" x14ac:dyDescent="0.2">
      <c r="A52" s="13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6"/>
    </row>
    <row r="53" spans="1:14" ht="15.75" hidden="1" customHeight="1" x14ac:dyDescent="0.2">
      <c r="A53" s="13" t="s">
        <v>32</v>
      </c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6">
        <f>SUM(B53:M53)</f>
        <v>0</v>
      </c>
    </row>
    <row r="54" spans="1:14" hidden="1" x14ac:dyDescent="0.2">
      <c r="A54" s="13" t="s">
        <v>33</v>
      </c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6">
        <f>SUM(B54:M54)</f>
        <v>0</v>
      </c>
    </row>
    <row r="55" spans="1:14" x14ac:dyDescent="0.2">
      <c r="A55" s="13" t="s">
        <v>34</v>
      </c>
      <c r="B55" s="14">
        <v>1750</v>
      </c>
      <c r="C55" s="14">
        <v>1750</v>
      </c>
      <c r="D55" s="14">
        <v>1750</v>
      </c>
      <c r="E55" s="14">
        <v>1750</v>
      </c>
      <c r="F55" s="14">
        <v>1750</v>
      </c>
      <c r="G55" s="14">
        <v>1750</v>
      </c>
      <c r="H55" s="14">
        <v>1750</v>
      </c>
      <c r="I55" s="14">
        <v>1750</v>
      </c>
      <c r="J55" s="14">
        <v>1750</v>
      </c>
      <c r="K55" s="14">
        <v>1750</v>
      </c>
      <c r="L55" s="14">
        <v>1750</v>
      </c>
      <c r="M55" s="14">
        <v>1750</v>
      </c>
      <c r="N55" s="16">
        <f>SUM(B55:M55)</f>
        <v>21000</v>
      </c>
    </row>
    <row r="56" spans="1:14" x14ac:dyDescent="0.2">
      <c r="A56" s="13" t="s">
        <v>57</v>
      </c>
      <c r="B56" s="14">
        <v>24500</v>
      </c>
      <c r="C56" s="14">
        <v>24400</v>
      </c>
      <c r="D56" s="14">
        <v>24300</v>
      </c>
      <c r="E56" s="14">
        <v>24200</v>
      </c>
      <c r="F56" s="14">
        <v>24100</v>
      </c>
      <c r="G56" s="14">
        <v>24000</v>
      </c>
      <c r="H56" s="14">
        <v>23900</v>
      </c>
      <c r="I56" s="14">
        <v>23800</v>
      </c>
      <c r="J56" s="14">
        <v>23700</v>
      </c>
      <c r="K56" s="14">
        <v>23600</v>
      </c>
      <c r="L56" s="14">
        <v>23500</v>
      </c>
      <c r="M56" s="14">
        <v>23400</v>
      </c>
      <c r="N56" s="16">
        <f>SUM(B56:M56)</f>
        <v>287400</v>
      </c>
    </row>
    <row r="57" spans="1:14" ht="4.5" customHeight="1" thickBot="1" x14ac:dyDescent="0.25">
      <c r="A57" s="13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6"/>
    </row>
    <row r="58" spans="1:14" s="1" customFormat="1" ht="13.5" thickBot="1" x14ac:dyDescent="0.25">
      <c r="A58" s="17" t="s">
        <v>35</v>
      </c>
      <c r="B58" s="18">
        <f t="shared" ref="B58:N58" si="18">+B50+B54+B55-B56-B53</f>
        <v>94138</v>
      </c>
      <c r="C58" s="18">
        <f t="shared" si="18"/>
        <v>101024</v>
      </c>
      <c r="D58" s="18">
        <f t="shared" si="18"/>
        <v>111304</v>
      </c>
      <c r="E58" s="18">
        <f t="shared" si="18"/>
        <v>132612</v>
      </c>
      <c r="F58" s="18">
        <f t="shared" si="18"/>
        <v>175126</v>
      </c>
      <c r="G58" s="18">
        <f t="shared" si="18"/>
        <v>196434</v>
      </c>
      <c r="H58" s="18">
        <f t="shared" si="18"/>
        <v>217742</v>
      </c>
      <c r="I58" s="18">
        <f t="shared" si="18"/>
        <v>196634</v>
      </c>
      <c r="J58" s="18">
        <f t="shared" si="18"/>
        <v>154316</v>
      </c>
      <c r="K58" s="18">
        <f t="shared" si="18"/>
        <v>154416</v>
      </c>
      <c r="L58" s="18">
        <f t="shared" si="18"/>
        <v>154516</v>
      </c>
      <c r="M58" s="18">
        <f t="shared" si="18"/>
        <v>133408</v>
      </c>
      <c r="N58" s="19">
        <f t="shared" si="18"/>
        <v>1821670</v>
      </c>
    </row>
    <row r="59" spans="1:14" ht="6" customHeight="1" x14ac:dyDescent="0.2">
      <c r="A59" s="13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5"/>
    </row>
    <row r="60" spans="1:14" x14ac:dyDescent="0.2">
      <c r="A60" s="13" t="s">
        <v>36</v>
      </c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5">
        <f>SUM(B60:M60)</f>
        <v>0</v>
      </c>
    </row>
    <row r="61" spans="1:14" x14ac:dyDescent="0.2">
      <c r="A61" s="13" t="s">
        <v>0</v>
      </c>
      <c r="B61" s="14">
        <v>5250</v>
      </c>
      <c r="C61" s="14">
        <v>5250</v>
      </c>
      <c r="D61" s="14">
        <v>5250</v>
      </c>
      <c r="E61" s="14">
        <v>5250</v>
      </c>
      <c r="F61" s="14">
        <v>5250</v>
      </c>
      <c r="G61" s="14">
        <v>5250</v>
      </c>
      <c r="H61" s="14">
        <v>5250</v>
      </c>
      <c r="I61" s="14">
        <v>5250</v>
      </c>
      <c r="J61" s="14">
        <f>366000+576250</f>
        <v>942250</v>
      </c>
      <c r="K61" s="14">
        <v>5250</v>
      </c>
      <c r="L61" s="14">
        <v>5250</v>
      </c>
      <c r="M61" s="14">
        <v>5250</v>
      </c>
      <c r="N61" s="15">
        <f>SUM(B61:M61)</f>
        <v>1000000</v>
      </c>
    </row>
    <row r="62" spans="1:14" ht="6.75" customHeight="1" thickBot="1" x14ac:dyDescent="0.25">
      <c r="A62" s="13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5"/>
    </row>
    <row r="63" spans="1:14" s="1" customFormat="1" ht="13.5" thickBot="1" x14ac:dyDescent="0.25">
      <c r="A63" s="38" t="s">
        <v>37</v>
      </c>
      <c r="B63" s="39">
        <f t="shared" ref="B63:N63" si="19">+B58-B60-B61</f>
        <v>88888</v>
      </c>
      <c r="C63" s="39">
        <f t="shared" si="19"/>
        <v>95774</v>
      </c>
      <c r="D63" s="39">
        <f t="shared" si="19"/>
        <v>106054</v>
      </c>
      <c r="E63" s="39">
        <f t="shared" si="19"/>
        <v>127362</v>
      </c>
      <c r="F63" s="39">
        <f t="shared" si="19"/>
        <v>169876</v>
      </c>
      <c r="G63" s="39">
        <f t="shared" si="19"/>
        <v>191184</v>
      </c>
      <c r="H63" s="39">
        <f t="shared" si="19"/>
        <v>212492</v>
      </c>
      <c r="I63" s="39">
        <f t="shared" si="19"/>
        <v>191384</v>
      </c>
      <c r="J63" s="39">
        <f t="shared" si="19"/>
        <v>-787934</v>
      </c>
      <c r="K63" s="39">
        <f t="shared" si="19"/>
        <v>149166</v>
      </c>
      <c r="L63" s="39">
        <f t="shared" si="19"/>
        <v>149266</v>
      </c>
      <c r="M63" s="39">
        <f t="shared" si="19"/>
        <v>128158</v>
      </c>
      <c r="N63" s="40">
        <f t="shared" si="19"/>
        <v>821670</v>
      </c>
    </row>
    <row r="64" spans="1:14" s="44" customFormat="1" ht="13.5" thickBot="1" x14ac:dyDescent="0.25">
      <c r="A64" s="41" t="s">
        <v>38</v>
      </c>
      <c r="B64" s="42">
        <f>+B63</f>
        <v>88888</v>
      </c>
      <c r="C64" s="42">
        <f t="shared" ref="C64:M64" si="20">+B64+C63</f>
        <v>184662</v>
      </c>
      <c r="D64" s="42">
        <f t="shared" si="20"/>
        <v>290716</v>
      </c>
      <c r="E64" s="42">
        <f t="shared" si="20"/>
        <v>418078</v>
      </c>
      <c r="F64" s="42">
        <f t="shared" si="20"/>
        <v>587954</v>
      </c>
      <c r="G64" s="42">
        <f t="shared" si="20"/>
        <v>779138</v>
      </c>
      <c r="H64" s="42">
        <f t="shared" si="20"/>
        <v>991630</v>
      </c>
      <c r="I64" s="42">
        <f t="shared" si="20"/>
        <v>1183014</v>
      </c>
      <c r="J64" s="42">
        <f t="shared" si="20"/>
        <v>395080</v>
      </c>
      <c r="K64" s="42">
        <f t="shared" si="20"/>
        <v>544246</v>
      </c>
      <c r="L64" s="42">
        <f t="shared" si="20"/>
        <v>693512</v>
      </c>
      <c r="M64" s="42">
        <f t="shared" si="20"/>
        <v>821670</v>
      </c>
      <c r="N64" s="43"/>
    </row>
    <row r="65" ht="13.5" thickTop="1" x14ac:dyDescent="0.2"/>
  </sheetData>
  <phoneticPr fontId="7" type="noConversion"/>
  <pageMargins left="0.75" right="0.75" top="1" bottom="1" header="0.5" footer="0.5"/>
  <pageSetup paperSize="9" scale="5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69"/>
  <sheetViews>
    <sheetView showGridLines="0" topLeftCell="A49" workbookViewId="0">
      <selection activeCell="Q64" sqref="Q64"/>
    </sheetView>
  </sheetViews>
  <sheetFormatPr defaultRowHeight="14.1" customHeight="1" x14ac:dyDescent="0.2"/>
  <cols>
    <col min="1" max="1" width="29.85546875" customWidth="1"/>
    <col min="2" max="2" width="7.7109375" style="123" customWidth="1"/>
    <col min="3" max="3" width="6.7109375" style="167" customWidth="1"/>
    <col min="4" max="6" width="12" customWidth="1"/>
    <col min="7" max="7" width="11.42578125" customWidth="1"/>
    <col min="8" max="8" width="10.85546875" customWidth="1"/>
    <col min="9" max="9" width="10.7109375" customWidth="1"/>
    <col min="17" max="17" width="10.140625" customWidth="1"/>
    <col min="18" max="18" width="13.5703125" style="1" customWidth="1"/>
  </cols>
  <sheetData>
    <row r="1" spans="1:18" s="3" customFormat="1" ht="24" customHeight="1" x14ac:dyDescent="0.25">
      <c r="A1" s="3" t="str">
        <f>CONCATENATE(Cover!C3," ","Profit &amp; Loss Forecast")</f>
        <v>Novelty PCs Ltd Profit &amp; Loss Forecast</v>
      </c>
      <c r="H1" s="156"/>
      <c r="I1" s="131"/>
      <c r="J1" s="156"/>
    </row>
    <row r="2" spans="1:18" ht="14.1" customHeight="1" thickBot="1" x14ac:dyDescent="0.25">
      <c r="D2" s="311" t="s">
        <v>198</v>
      </c>
      <c r="E2" s="311"/>
    </row>
    <row r="3" spans="1:18" ht="14.1" customHeight="1" thickTop="1" x14ac:dyDescent="0.2">
      <c r="A3" s="10"/>
      <c r="B3" s="262" t="s">
        <v>220</v>
      </c>
      <c r="C3" s="129" t="s">
        <v>221</v>
      </c>
      <c r="D3" s="209">
        <f>+E3-30</f>
        <v>45247</v>
      </c>
      <c r="E3" s="209">
        <f>+F3-30</f>
        <v>45277</v>
      </c>
      <c r="F3" s="11">
        <f>Cover!C5+15</f>
        <v>45307</v>
      </c>
      <c r="G3" s="11">
        <f>+F3+30</f>
        <v>45337</v>
      </c>
      <c r="H3" s="11">
        <f t="shared" ref="H3:Q3" si="0">+G3+30</f>
        <v>45367</v>
      </c>
      <c r="I3" s="11">
        <f t="shared" si="0"/>
        <v>45397</v>
      </c>
      <c r="J3" s="11">
        <f t="shared" si="0"/>
        <v>45427</v>
      </c>
      <c r="K3" s="11">
        <f t="shared" si="0"/>
        <v>45457</v>
      </c>
      <c r="L3" s="11">
        <f t="shared" si="0"/>
        <v>45487</v>
      </c>
      <c r="M3" s="11">
        <f t="shared" si="0"/>
        <v>45517</v>
      </c>
      <c r="N3" s="11">
        <f t="shared" si="0"/>
        <v>45547</v>
      </c>
      <c r="O3" s="11">
        <f t="shared" si="0"/>
        <v>45577</v>
      </c>
      <c r="P3" s="11">
        <f t="shared" si="0"/>
        <v>45607</v>
      </c>
      <c r="Q3" s="11">
        <f t="shared" si="0"/>
        <v>45637</v>
      </c>
      <c r="R3" s="12" t="s">
        <v>3</v>
      </c>
    </row>
    <row r="4" spans="1:18" ht="14.1" customHeight="1" x14ac:dyDescent="0.2">
      <c r="A4" s="13"/>
      <c r="B4" s="263"/>
      <c r="D4" s="210"/>
      <c r="E4" s="210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5"/>
    </row>
    <row r="5" spans="1:18" ht="14.1" customHeight="1" x14ac:dyDescent="0.2">
      <c r="A5" s="13" t="s">
        <v>172</v>
      </c>
      <c r="B5" s="264">
        <v>0.2</v>
      </c>
      <c r="C5" s="206" t="s">
        <v>219</v>
      </c>
      <c r="D5" s="211">
        <v>4520</v>
      </c>
      <c r="E5" s="211">
        <v>2840</v>
      </c>
      <c r="F5" s="120">
        <v>3000</v>
      </c>
      <c r="G5" s="120">
        <v>3000</v>
      </c>
      <c r="H5" s="120">
        <v>3000</v>
      </c>
      <c r="I5" s="120">
        <v>3500</v>
      </c>
      <c r="J5" s="120">
        <v>3500</v>
      </c>
      <c r="K5" s="120">
        <v>3500</v>
      </c>
      <c r="L5" s="120">
        <v>4000</v>
      </c>
      <c r="M5" s="120">
        <v>4000</v>
      </c>
      <c r="N5" s="120">
        <v>4000</v>
      </c>
      <c r="O5" s="120">
        <v>4500</v>
      </c>
      <c r="P5" s="120">
        <v>4500</v>
      </c>
      <c r="Q5" s="120">
        <v>4500</v>
      </c>
      <c r="R5" s="16">
        <f>SUM(F5:Q5)</f>
        <v>45000</v>
      </c>
    </row>
    <row r="6" spans="1:18" ht="14.1" customHeight="1" thickBot="1" x14ac:dyDescent="0.25">
      <c r="A6" s="13"/>
      <c r="B6" s="263"/>
      <c r="D6" s="210"/>
      <c r="E6" s="210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6">
        <f>SUM(F6:Q6)</f>
        <v>0</v>
      </c>
    </row>
    <row r="7" spans="1:18" s="1" customFormat="1" ht="14.1" customHeight="1" thickBot="1" x14ac:dyDescent="0.25">
      <c r="A7" s="222" t="s">
        <v>15</v>
      </c>
      <c r="B7" s="265"/>
      <c r="C7" s="224"/>
      <c r="D7" s="212">
        <f>SUM(D5:D6)</f>
        <v>4520</v>
      </c>
      <c r="E7" s="212">
        <f>SUM(E5:E6)</f>
        <v>2840</v>
      </c>
      <c r="F7" s="212">
        <f t="shared" ref="F7:Q7" si="1">SUM(F5:F6)</f>
        <v>3000</v>
      </c>
      <c r="G7" s="212">
        <f t="shared" si="1"/>
        <v>3000</v>
      </c>
      <c r="H7" s="212">
        <f t="shared" si="1"/>
        <v>3000</v>
      </c>
      <c r="I7" s="212">
        <f t="shared" si="1"/>
        <v>3500</v>
      </c>
      <c r="J7" s="212">
        <f t="shared" si="1"/>
        <v>3500</v>
      </c>
      <c r="K7" s="212">
        <f t="shared" si="1"/>
        <v>3500</v>
      </c>
      <c r="L7" s="212">
        <f t="shared" si="1"/>
        <v>4000</v>
      </c>
      <c r="M7" s="212">
        <f t="shared" si="1"/>
        <v>4000</v>
      </c>
      <c r="N7" s="212">
        <f t="shared" si="1"/>
        <v>4000</v>
      </c>
      <c r="O7" s="212">
        <f t="shared" si="1"/>
        <v>4500</v>
      </c>
      <c r="P7" s="212">
        <f t="shared" si="1"/>
        <v>4500</v>
      </c>
      <c r="Q7" s="212">
        <f t="shared" si="1"/>
        <v>4500</v>
      </c>
      <c r="R7" s="225">
        <f>SUM(F7:Q7)</f>
        <v>45000</v>
      </c>
    </row>
    <row r="8" spans="1:18" ht="14.1" customHeight="1" x14ac:dyDescent="0.2">
      <c r="A8" s="13"/>
      <c r="B8" s="263"/>
      <c r="D8" s="210"/>
      <c r="E8" s="210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6"/>
    </row>
    <row r="9" spans="1:18" s="1" customFormat="1" ht="14.1" customHeight="1" x14ac:dyDescent="0.2">
      <c r="A9" s="34" t="s">
        <v>183</v>
      </c>
      <c r="B9" s="264">
        <v>0.2</v>
      </c>
      <c r="C9" s="206" t="s">
        <v>222</v>
      </c>
      <c r="D9" s="213">
        <v>1884</v>
      </c>
      <c r="E9" s="213">
        <v>1065</v>
      </c>
      <c r="F9" s="121">
        <f>ROUND(F5*0.4,0)</f>
        <v>1200</v>
      </c>
      <c r="G9" s="121">
        <f t="shared" ref="G9:Q9" si="2">ROUND(G5*0.4,0)</f>
        <v>1200</v>
      </c>
      <c r="H9" s="121">
        <f t="shared" si="2"/>
        <v>1200</v>
      </c>
      <c r="I9" s="121">
        <f t="shared" si="2"/>
        <v>1400</v>
      </c>
      <c r="J9" s="121">
        <f t="shared" si="2"/>
        <v>1400</v>
      </c>
      <c r="K9" s="121">
        <f t="shared" si="2"/>
        <v>1400</v>
      </c>
      <c r="L9" s="121">
        <f t="shared" si="2"/>
        <v>1600</v>
      </c>
      <c r="M9" s="121">
        <f t="shared" si="2"/>
        <v>1600</v>
      </c>
      <c r="N9" s="121">
        <f t="shared" si="2"/>
        <v>1600</v>
      </c>
      <c r="O9" s="121">
        <f t="shared" si="2"/>
        <v>1800</v>
      </c>
      <c r="P9" s="121">
        <f t="shared" si="2"/>
        <v>1800</v>
      </c>
      <c r="Q9" s="121">
        <f t="shared" si="2"/>
        <v>1800</v>
      </c>
      <c r="R9" s="16">
        <f>SUM(F9:Q9)</f>
        <v>18000</v>
      </c>
    </row>
    <row r="10" spans="1:18" s="1" customFormat="1" ht="14.1" customHeight="1" x14ac:dyDescent="0.2">
      <c r="A10" s="204" t="s">
        <v>80</v>
      </c>
      <c r="B10" s="264"/>
      <c r="C10" s="206"/>
      <c r="D10" s="214">
        <f t="shared" ref="D10:Q10" si="3">IF(ISERR(D9/D7),0,D9/D7)</f>
        <v>0.41699999999999998</v>
      </c>
      <c r="E10" s="214">
        <f t="shared" si="3"/>
        <v>0.375</v>
      </c>
      <c r="F10" s="214">
        <f t="shared" si="3"/>
        <v>0.4</v>
      </c>
      <c r="G10" s="214">
        <f t="shared" si="3"/>
        <v>0.4</v>
      </c>
      <c r="H10" s="214">
        <f t="shared" si="3"/>
        <v>0.4</v>
      </c>
      <c r="I10" s="214">
        <f t="shared" si="3"/>
        <v>0.4</v>
      </c>
      <c r="J10" s="214">
        <f t="shared" si="3"/>
        <v>0.4</v>
      </c>
      <c r="K10" s="214">
        <f t="shared" si="3"/>
        <v>0.4</v>
      </c>
      <c r="L10" s="214">
        <f t="shared" si="3"/>
        <v>0.4</v>
      </c>
      <c r="M10" s="214">
        <f t="shared" si="3"/>
        <v>0.4</v>
      </c>
      <c r="N10" s="214">
        <f t="shared" si="3"/>
        <v>0.4</v>
      </c>
      <c r="O10" s="214">
        <f t="shared" si="3"/>
        <v>0.4</v>
      </c>
      <c r="P10" s="214">
        <f t="shared" si="3"/>
        <v>0.4</v>
      </c>
      <c r="Q10" s="214">
        <f t="shared" si="3"/>
        <v>0.4</v>
      </c>
      <c r="R10" s="292">
        <f>IF(ISERR(R9/R7),0,R9/R7)</f>
        <v>0.4</v>
      </c>
    </row>
    <row r="11" spans="1:18" ht="14.1" customHeight="1" x14ac:dyDescent="0.2">
      <c r="A11" s="13" t="s">
        <v>173</v>
      </c>
      <c r="B11" s="264">
        <v>0</v>
      </c>
      <c r="C11" s="206" t="s">
        <v>223</v>
      </c>
      <c r="D11" s="211">
        <v>346</v>
      </c>
      <c r="E11" s="211">
        <v>426</v>
      </c>
      <c r="F11" s="120">
        <v>450</v>
      </c>
      <c r="G11" s="120">
        <v>450</v>
      </c>
      <c r="H11" s="120">
        <v>450</v>
      </c>
      <c r="I11" s="120">
        <v>475</v>
      </c>
      <c r="J11" s="120">
        <v>475</v>
      </c>
      <c r="K11" s="120">
        <v>475</v>
      </c>
      <c r="L11" s="120">
        <v>500</v>
      </c>
      <c r="M11" s="120">
        <v>500</v>
      </c>
      <c r="N11" s="120">
        <v>500</v>
      </c>
      <c r="O11" s="120">
        <v>525</v>
      </c>
      <c r="P11" s="120">
        <v>525</v>
      </c>
      <c r="Q11" s="120">
        <v>525</v>
      </c>
      <c r="R11" s="16">
        <f>SUM(F11:Q11)</f>
        <v>5850</v>
      </c>
    </row>
    <row r="12" spans="1:18" ht="14.1" customHeight="1" x14ac:dyDescent="0.2">
      <c r="A12" s="204" t="s">
        <v>80</v>
      </c>
      <c r="B12" s="264"/>
      <c r="C12" s="206"/>
      <c r="D12" s="214">
        <f>IF(ISERR(D11/D7),0,D11/D7)</f>
        <v>7.6999999999999999E-2</v>
      </c>
      <c r="E12" s="214">
        <f>IF(ISERR(E11/E7),0,E11/E7)</f>
        <v>0.15</v>
      </c>
      <c r="F12" s="214">
        <f t="shared" ref="F12:R12" si="4">IF(ISERR(F11/F7),0,F11/F7)</f>
        <v>0.15</v>
      </c>
      <c r="G12" s="214">
        <f t="shared" si="4"/>
        <v>0.15</v>
      </c>
      <c r="H12" s="214">
        <f t="shared" si="4"/>
        <v>0.15</v>
      </c>
      <c r="I12" s="214">
        <f t="shared" si="4"/>
        <v>0.13600000000000001</v>
      </c>
      <c r="J12" s="214">
        <f t="shared" si="4"/>
        <v>0.13600000000000001</v>
      </c>
      <c r="K12" s="214">
        <f t="shared" si="4"/>
        <v>0.13600000000000001</v>
      </c>
      <c r="L12" s="214">
        <f t="shared" si="4"/>
        <v>0.125</v>
      </c>
      <c r="M12" s="214">
        <f t="shared" si="4"/>
        <v>0.125</v>
      </c>
      <c r="N12" s="214">
        <f t="shared" si="4"/>
        <v>0.125</v>
      </c>
      <c r="O12" s="214">
        <f t="shared" si="4"/>
        <v>0.11700000000000001</v>
      </c>
      <c r="P12" s="214">
        <f t="shared" si="4"/>
        <v>0.11700000000000001</v>
      </c>
      <c r="Q12" s="214">
        <f t="shared" si="4"/>
        <v>0.11700000000000001</v>
      </c>
      <c r="R12" s="292">
        <f t="shared" si="4"/>
        <v>0.13</v>
      </c>
    </row>
    <row r="13" spans="1:18" ht="14.1" customHeight="1" thickBot="1" x14ac:dyDescent="0.25">
      <c r="A13" s="13" t="s">
        <v>200</v>
      </c>
      <c r="B13" s="264">
        <v>0.2</v>
      </c>
      <c r="C13" s="206" t="s">
        <v>222</v>
      </c>
      <c r="D13" s="211">
        <v>125</v>
      </c>
      <c r="E13" s="211">
        <v>75</v>
      </c>
      <c r="F13" s="120">
        <v>100</v>
      </c>
      <c r="G13" s="120">
        <v>100</v>
      </c>
      <c r="H13" s="120">
        <v>100</v>
      </c>
      <c r="I13" s="120">
        <v>125</v>
      </c>
      <c r="J13" s="120">
        <v>125</v>
      </c>
      <c r="K13" s="120">
        <v>125</v>
      </c>
      <c r="L13" s="120">
        <v>150</v>
      </c>
      <c r="M13" s="120">
        <v>150</v>
      </c>
      <c r="N13" s="120">
        <v>150</v>
      </c>
      <c r="O13" s="120">
        <v>175</v>
      </c>
      <c r="P13" s="120">
        <v>175</v>
      </c>
      <c r="Q13" s="120">
        <v>175</v>
      </c>
      <c r="R13" s="16">
        <f>SUM(F13:Q13)</f>
        <v>1650</v>
      </c>
    </row>
    <row r="14" spans="1:18" s="1" customFormat="1" ht="14.1" customHeight="1" thickTop="1" thickBot="1" x14ac:dyDescent="0.25">
      <c r="A14" s="222" t="s">
        <v>22</v>
      </c>
      <c r="B14" s="265"/>
      <c r="C14" s="224"/>
      <c r="D14" s="215">
        <f>+D9+D11+D13</f>
        <v>2355</v>
      </c>
      <c r="E14" s="215">
        <f>+E9+E11+E13</f>
        <v>1566</v>
      </c>
      <c r="F14" s="215">
        <f t="shared" ref="F14:R14" si="5">+F9+F11+F13</f>
        <v>1750</v>
      </c>
      <c r="G14" s="215">
        <f t="shared" si="5"/>
        <v>1750</v>
      </c>
      <c r="H14" s="215">
        <f t="shared" si="5"/>
        <v>1750</v>
      </c>
      <c r="I14" s="215">
        <f t="shared" si="5"/>
        <v>2000</v>
      </c>
      <c r="J14" s="215">
        <f t="shared" si="5"/>
        <v>2000</v>
      </c>
      <c r="K14" s="215">
        <f t="shared" si="5"/>
        <v>2000</v>
      </c>
      <c r="L14" s="215">
        <f t="shared" si="5"/>
        <v>2250</v>
      </c>
      <c r="M14" s="215">
        <f t="shared" si="5"/>
        <v>2250</v>
      </c>
      <c r="N14" s="215">
        <f t="shared" si="5"/>
        <v>2250</v>
      </c>
      <c r="O14" s="215">
        <f t="shared" si="5"/>
        <v>2500</v>
      </c>
      <c r="P14" s="215">
        <f t="shared" si="5"/>
        <v>2500</v>
      </c>
      <c r="Q14" s="215">
        <f t="shared" si="5"/>
        <v>2500</v>
      </c>
      <c r="R14" s="293">
        <f t="shared" si="5"/>
        <v>25500</v>
      </c>
    </row>
    <row r="15" spans="1:18" ht="14.1" customHeight="1" thickBot="1" x14ac:dyDescent="0.25">
      <c r="A15" s="13"/>
      <c r="B15" s="263"/>
      <c r="D15" s="210"/>
      <c r="E15" s="210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6"/>
    </row>
    <row r="16" spans="1:18" s="1" customFormat="1" ht="14.1" customHeight="1" x14ac:dyDescent="0.2">
      <c r="A16" s="226" t="s">
        <v>23</v>
      </c>
      <c r="B16" s="266"/>
      <c r="C16" s="227"/>
      <c r="D16" s="216">
        <f t="shared" ref="D16:R16" si="6">D7-D14</f>
        <v>2165</v>
      </c>
      <c r="E16" s="216">
        <f t="shared" si="6"/>
        <v>1274</v>
      </c>
      <c r="F16" s="216">
        <f t="shared" si="6"/>
        <v>1250</v>
      </c>
      <c r="G16" s="216">
        <f t="shared" si="6"/>
        <v>1250</v>
      </c>
      <c r="H16" s="216">
        <f t="shared" si="6"/>
        <v>1250</v>
      </c>
      <c r="I16" s="216">
        <f t="shared" si="6"/>
        <v>1500</v>
      </c>
      <c r="J16" s="216">
        <f t="shared" si="6"/>
        <v>1500</v>
      </c>
      <c r="K16" s="216">
        <f t="shared" si="6"/>
        <v>1500</v>
      </c>
      <c r="L16" s="216">
        <f t="shared" si="6"/>
        <v>1750</v>
      </c>
      <c r="M16" s="216">
        <f t="shared" si="6"/>
        <v>1750</v>
      </c>
      <c r="N16" s="216">
        <f t="shared" si="6"/>
        <v>1750</v>
      </c>
      <c r="O16" s="216">
        <f t="shared" si="6"/>
        <v>2000</v>
      </c>
      <c r="P16" s="216">
        <f t="shared" si="6"/>
        <v>2000</v>
      </c>
      <c r="Q16" s="216">
        <f t="shared" si="6"/>
        <v>2000</v>
      </c>
      <c r="R16" s="228">
        <f t="shared" si="6"/>
        <v>19500</v>
      </c>
    </row>
    <row r="17" spans="1:18" s="1" customFormat="1" ht="14.1" customHeight="1" thickBot="1" x14ac:dyDescent="0.25">
      <c r="A17" s="229" t="s">
        <v>24</v>
      </c>
      <c r="B17" s="267"/>
      <c r="C17" s="231"/>
      <c r="D17" s="217">
        <f t="shared" ref="D17:Q17" si="7">IF(ISERR(D16/D7),0,D16/D7)</f>
        <v>0.47899999999999998</v>
      </c>
      <c r="E17" s="217">
        <f t="shared" si="7"/>
        <v>0.44900000000000001</v>
      </c>
      <c r="F17" s="217">
        <f t="shared" si="7"/>
        <v>0.41699999999999998</v>
      </c>
      <c r="G17" s="217">
        <f t="shared" si="7"/>
        <v>0.41699999999999998</v>
      </c>
      <c r="H17" s="217">
        <f t="shared" si="7"/>
        <v>0.41699999999999998</v>
      </c>
      <c r="I17" s="217">
        <f t="shared" si="7"/>
        <v>0.42899999999999999</v>
      </c>
      <c r="J17" s="217">
        <f t="shared" si="7"/>
        <v>0.42899999999999999</v>
      </c>
      <c r="K17" s="217">
        <f t="shared" si="7"/>
        <v>0.42899999999999999</v>
      </c>
      <c r="L17" s="217">
        <f t="shared" si="7"/>
        <v>0.438</v>
      </c>
      <c r="M17" s="217">
        <f t="shared" si="7"/>
        <v>0.438</v>
      </c>
      <c r="N17" s="217">
        <f t="shared" si="7"/>
        <v>0.438</v>
      </c>
      <c r="O17" s="217">
        <f t="shared" si="7"/>
        <v>0.44400000000000001</v>
      </c>
      <c r="P17" s="217">
        <f t="shared" si="7"/>
        <v>0.44400000000000001</v>
      </c>
      <c r="Q17" s="217">
        <f t="shared" si="7"/>
        <v>0.44400000000000001</v>
      </c>
      <c r="R17" s="232">
        <f>R16/R7</f>
        <v>0.433</v>
      </c>
    </row>
    <row r="18" spans="1:18" ht="14.1" customHeight="1" x14ac:dyDescent="0.2">
      <c r="A18" s="13"/>
      <c r="B18" s="263"/>
      <c r="D18" s="210"/>
      <c r="E18" s="210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6"/>
    </row>
    <row r="19" spans="1:18" ht="14.1" customHeight="1" x14ac:dyDescent="0.2">
      <c r="A19" s="294" t="s">
        <v>174</v>
      </c>
      <c r="B19" s="264">
        <v>0</v>
      </c>
      <c r="C19" s="206" t="s">
        <v>223</v>
      </c>
      <c r="D19" s="252">
        <v>75</v>
      </c>
      <c r="E19" s="252">
        <v>75</v>
      </c>
      <c r="F19" s="253">
        <v>75</v>
      </c>
      <c r="G19" s="253">
        <v>75</v>
      </c>
      <c r="H19" s="253">
        <v>75</v>
      </c>
      <c r="I19" s="253">
        <v>75</v>
      </c>
      <c r="J19" s="253">
        <v>75</v>
      </c>
      <c r="K19" s="253">
        <v>75</v>
      </c>
      <c r="L19" s="253">
        <v>75</v>
      </c>
      <c r="M19" s="253">
        <v>75</v>
      </c>
      <c r="N19" s="253">
        <v>75</v>
      </c>
      <c r="O19" s="253">
        <v>75</v>
      </c>
      <c r="P19" s="253">
        <v>75</v>
      </c>
      <c r="Q19" s="253">
        <v>75</v>
      </c>
      <c r="R19" s="16">
        <f>SUM(F19:Q19)</f>
        <v>900</v>
      </c>
    </row>
    <row r="20" spans="1:18" ht="14.1" customHeight="1" x14ac:dyDescent="0.2">
      <c r="A20" s="295" t="s">
        <v>201</v>
      </c>
      <c r="B20" s="249">
        <v>0</v>
      </c>
      <c r="C20" s="250" t="s">
        <v>224</v>
      </c>
      <c r="D20" s="254">
        <v>150</v>
      </c>
      <c r="E20" s="254">
        <v>150</v>
      </c>
      <c r="F20" s="254">
        <v>150</v>
      </c>
      <c r="G20" s="254">
        <v>150</v>
      </c>
      <c r="H20" s="254">
        <v>150</v>
      </c>
      <c r="I20" s="254">
        <v>150</v>
      </c>
      <c r="J20" s="254">
        <v>150</v>
      </c>
      <c r="K20" s="254">
        <v>150</v>
      </c>
      <c r="L20" s="254">
        <v>150</v>
      </c>
      <c r="M20" s="254">
        <v>150</v>
      </c>
      <c r="N20" s="254">
        <v>150</v>
      </c>
      <c r="O20" s="254">
        <v>150</v>
      </c>
      <c r="P20" s="254">
        <v>150</v>
      </c>
      <c r="Q20" s="254">
        <v>150</v>
      </c>
      <c r="R20" s="251">
        <f>SUM(F20:Q20)</f>
        <v>1800</v>
      </c>
    </row>
    <row r="21" spans="1:18" ht="12.75" x14ac:dyDescent="0.2">
      <c r="A21" s="295" t="s">
        <v>202</v>
      </c>
      <c r="B21" s="249">
        <v>0</v>
      </c>
      <c r="C21" s="250" t="s">
        <v>223</v>
      </c>
      <c r="D21" s="255"/>
      <c r="E21" s="255"/>
      <c r="F21" s="255"/>
      <c r="G21" s="255"/>
      <c r="H21" s="255"/>
      <c r="I21" s="255"/>
      <c r="J21" s="255"/>
      <c r="K21" s="255"/>
      <c r="L21" s="255"/>
      <c r="M21" s="255"/>
      <c r="N21" s="255"/>
      <c r="O21" s="255"/>
      <c r="P21" s="255"/>
      <c r="Q21" s="255"/>
      <c r="R21" s="251">
        <f>SUM(F21:Q21)</f>
        <v>0</v>
      </c>
    </row>
    <row r="22" spans="1:18" ht="12.75" x14ac:dyDescent="0.2">
      <c r="A22" s="295" t="s">
        <v>45</v>
      </c>
      <c r="B22" s="249">
        <v>0</v>
      </c>
      <c r="C22" s="250" t="s">
        <v>223</v>
      </c>
      <c r="D22" s="255">
        <v>20</v>
      </c>
      <c r="E22" s="255">
        <v>20</v>
      </c>
      <c r="F22" s="255">
        <v>20</v>
      </c>
      <c r="G22" s="255">
        <v>20</v>
      </c>
      <c r="H22" s="255">
        <v>20</v>
      </c>
      <c r="I22" s="255">
        <v>20</v>
      </c>
      <c r="J22" s="255">
        <v>20</v>
      </c>
      <c r="K22" s="255">
        <v>20</v>
      </c>
      <c r="L22" s="255">
        <v>20</v>
      </c>
      <c r="M22" s="255">
        <v>20</v>
      </c>
      <c r="N22" s="255">
        <v>20</v>
      </c>
      <c r="O22" s="255">
        <v>20</v>
      </c>
      <c r="P22" s="255">
        <v>20</v>
      </c>
      <c r="Q22" s="255">
        <v>20</v>
      </c>
      <c r="R22" s="251">
        <f t="shared" ref="R22:R47" si="8">SUM(F22:Q22)</f>
        <v>240</v>
      </c>
    </row>
    <row r="23" spans="1:18" ht="12.75" x14ac:dyDescent="0.2">
      <c r="A23" s="296" t="s">
        <v>175</v>
      </c>
      <c r="B23" s="205">
        <v>0</v>
      </c>
      <c r="C23" s="206" t="s">
        <v>224</v>
      </c>
      <c r="D23" s="256">
        <v>140</v>
      </c>
      <c r="E23" s="256">
        <v>140</v>
      </c>
      <c r="F23" s="257">
        <v>140</v>
      </c>
      <c r="G23" s="257">
        <v>140</v>
      </c>
      <c r="H23" s="257">
        <v>140</v>
      </c>
      <c r="I23" s="257">
        <v>140</v>
      </c>
      <c r="J23" s="257">
        <v>140</v>
      </c>
      <c r="K23" s="257">
        <v>140</v>
      </c>
      <c r="L23" s="257">
        <v>140</v>
      </c>
      <c r="M23" s="257">
        <v>140</v>
      </c>
      <c r="N23" s="257">
        <v>140</v>
      </c>
      <c r="O23" s="257">
        <v>140</v>
      </c>
      <c r="P23" s="257">
        <v>140</v>
      </c>
      <c r="Q23" s="257">
        <v>140</v>
      </c>
      <c r="R23" s="16">
        <f t="shared" si="8"/>
        <v>1680</v>
      </c>
    </row>
    <row r="24" spans="1:18" ht="14.1" customHeight="1" x14ac:dyDescent="0.2">
      <c r="A24" s="296" t="s">
        <v>178</v>
      </c>
      <c r="B24" s="205">
        <v>0.2</v>
      </c>
      <c r="C24" s="206" t="s">
        <v>222</v>
      </c>
      <c r="D24" s="256"/>
      <c r="E24" s="256"/>
      <c r="F24" s="257"/>
      <c r="G24" s="257"/>
      <c r="H24" s="257"/>
      <c r="I24" s="257"/>
      <c r="J24" s="257"/>
      <c r="K24" s="257"/>
      <c r="L24" s="257"/>
      <c r="M24" s="257"/>
      <c r="N24" s="257"/>
      <c r="O24" s="257"/>
      <c r="P24" s="257"/>
      <c r="Q24" s="257"/>
      <c r="R24" s="16">
        <f t="shared" si="8"/>
        <v>0</v>
      </c>
    </row>
    <row r="25" spans="1:18" ht="12.75" x14ac:dyDescent="0.2">
      <c r="A25" s="296" t="s">
        <v>203</v>
      </c>
      <c r="B25" s="205">
        <v>0</v>
      </c>
      <c r="C25" s="206" t="s">
        <v>224</v>
      </c>
      <c r="D25" s="256">
        <v>10</v>
      </c>
      <c r="E25" s="256">
        <v>10</v>
      </c>
      <c r="F25" s="257">
        <v>10</v>
      </c>
      <c r="G25" s="257">
        <v>10</v>
      </c>
      <c r="H25" s="257">
        <v>10</v>
      </c>
      <c r="I25" s="257">
        <v>10</v>
      </c>
      <c r="J25" s="257">
        <v>10</v>
      </c>
      <c r="K25" s="257">
        <v>10</v>
      </c>
      <c r="L25" s="257">
        <v>10</v>
      </c>
      <c r="M25" s="257">
        <v>10</v>
      </c>
      <c r="N25" s="257">
        <v>10</v>
      </c>
      <c r="O25" s="257">
        <v>10</v>
      </c>
      <c r="P25" s="257">
        <v>10</v>
      </c>
      <c r="Q25" s="257">
        <v>10</v>
      </c>
      <c r="R25" s="16">
        <f>SUM(F25:Q25)</f>
        <v>120</v>
      </c>
    </row>
    <row r="26" spans="1:18" ht="12.75" x14ac:dyDescent="0.2">
      <c r="A26" s="296" t="s">
        <v>204</v>
      </c>
      <c r="B26" s="205">
        <v>0.1</v>
      </c>
      <c r="C26" s="206" t="s">
        <v>225</v>
      </c>
      <c r="D26" s="256"/>
      <c r="E26" s="256"/>
      <c r="F26" s="257"/>
      <c r="G26" s="257"/>
      <c r="H26" s="257"/>
      <c r="I26" s="257"/>
      <c r="J26" s="257"/>
      <c r="K26" s="257"/>
      <c r="L26" s="257"/>
      <c r="M26" s="257"/>
      <c r="N26" s="257"/>
      <c r="O26" s="257"/>
      <c r="P26" s="257"/>
      <c r="Q26" s="257"/>
      <c r="R26" s="16">
        <f>SUM(F26:Q26)</f>
        <v>0</v>
      </c>
    </row>
    <row r="27" spans="1:18" ht="12.75" x14ac:dyDescent="0.2">
      <c r="A27" s="296" t="s">
        <v>205</v>
      </c>
      <c r="B27" s="205">
        <v>0</v>
      </c>
      <c r="C27" s="206" t="s">
        <v>224</v>
      </c>
      <c r="D27" s="256"/>
      <c r="E27" s="256"/>
      <c r="F27" s="257"/>
      <c r="G27" s="257"/>
      <c r="H27" s="257"/>
      <c r="I27" s="257"/>
      <c r="J27" s="257"/>
      <c r="K27" s="257"/>
      <c r="L27" s="257"/>
      <c r="M27" s="257"/>
      <c r="N27" s="257"/>
      <c r="O27" s="257"/>
      <c r="P27" s="257"/>
      <c r="Q27" s="257"/>
      <c r="R27" s="16">
        <f t="shared" ref="R27:R38" si="9">SUM(F27:Q27)</f>
        <v>0</v>
      </c>
    </row>
    <row r="28" spans="1:18" ht="12.75" x14ac:dyDescent="0.2">
      <c r="A28" s="296" t="s">
        <v>176</v>
      </c>
      <c r="B28" s="205">
        <v>0.2</v>
      </c>
      <c r="C28" s="206" t="s">
        <v>222</v>
      </c>
      <c r="D28" s="256"/>
      <c r="E28" s="256"/>
      <c r="F28" s="257"/>
      <c r="G28" s="257"/>
      <c r="H28" s="257"/>
      <c r="I28" s="257"/>
      <c r="J28" s="257"/>
      <c r="K28" s="257"/>
      <c r="L28" s="257"/>
      <c r="M28" s="257"/>
      <c r="N28" s="257"/>
      <c r="O28" s="257"/>
      <c r="P28" s="257"/>
      <c r="Q28" s="257"/>
      <c r="R28" s="16">
        <f t="shared" si="9"/>
        <v>0</v>
      </c>
    </row>
    <row r="29" spans="1:18" ht="12.75" x14ac:dyDescent="0.2">
      <c r="A29" s="296" t="s">
        <v>46</v>
      </c>
      <c r="B29" s="205">
        <v>0.2</v>
      </c>
      <c r="C29" s="206" t="s">
        <v>222</v>
      </c>
      <c r="D29" s="256"/>
      <c r="E29" s="256"/>
      <c r="F29" s="257"/>
      <c r="G29" s="257"/>
      <c r="H29" s="257"/>
      <c r="I29" s="257"/>
      <c r="J29" s="257"/>
      <c r="K29" s="257"/>
      <c r="L29" s="257"/>
      <c r="M29" s="257"/>
      <c r="N29" s="257"/>
      <c r="O29" s="257"/>
      <c r="P29" s="257"/>
      <c r="Q29" s="257"/>
      <c r="R29" s="16">
        <f t="shared" si="9"/>
        <v>0</v>
      </c>
    </row>
    <row r="30" spans="1:18" ht="12.75" x14ac:dyDescent="0.2">
      <c r="A30" s="296" t="s">
        <v>206</v>
      </c>
      <c r="B30" s="205">
        <v>0.2</v>
      </c>
      <c r="C30" s="206" t="s">
        <v>222</v>
      </c>
      <c r="D30" s="256"/>
      <c r="E30" s="256"/>
      <c r="F30" s="257"/>
      <c r="G30" s="257"/>
      <c r="H30" s="257"/>
      <c r="I30" s="257"/>
      <c r="J30" s="257"/>
      <c r="K30" s="257"/>
      <c r="L30" s="257"/>
      <c r="M30" s="257"/>
      <c r="N30" s="257"/>
      <c r="O30" s="257"/>
      <c r="P30" s="257"/>
      <c r="Q30" s="257"/>
      <c r="R30" s="16">
        <f t="shared" si="9"/>
        <v>0</v>
      </c>
    </row>
    <row r="31" spans="1:18" ht="12.75" x14ac:dyDescent="0.2">
      <c r="A31" s="296" t="s">
        <v>177</v>
      </c>
      <c r="B31" s="205">
        <v>0.2</v>
      </c>
      <c r="C31" s="206" t="s">
        <v>222</v>
      </c>
      <c r="D31" s="256"/>
      <c r="E31" s="256"/>
      <c r="F31" s="257"/>
      <c r="G31" s="257"/>
      <c r="H31" s="257"/>
      <c r="I31" s="257"/>
      <c r="J31" s="257"/>
      <c r="K31" s="257"/>
      <c r="L31" s="257"/>
      <c r="M31" s="257"/>
      <c r="N31" s="257"/>
      <c r="O31" s="257"/>
      <c r="P31" s="257"/>
      <c r="Q31" s="257"/>
      <c r="R31" s="16">
        <f t="shared" si="9"/>
        <v>0</v>
      </c>
    </row>
    <row r="32" spans="1:18" ht="12.75" x14ac:dyDescent="0.2">
      <c r="A32" s="296" t="s">
        <v>207</v>
      </c>
      <c r="B32" s="205">
        <v>0.2</v>
      </c>
      <c r="C32" s="206" t="s">
        <v>222</v>
      </c>
      <c r="D32" s="256"/>
      <c r="E32" s="256"/>
      <c r="F32" s="257"/>
      <c r="G32" s="257"/>
      <c r="H32" s="257"/>
      <c r="I32" s="257"/>
      <c r="J32" s="257"/>
      <c r="K32" s="257"/>
      <c r="L32" s="257"/>
      <c r="M32" s="257"/>
      <c r="N32" s="257"/>
      <c r="O32" s="257"/>
      <c r="P32" s="257"/>
      <c r="Q32" s="257"/>
      <c r="R32" s="16">
        <f t="shared" si="9"/>
        <v>0</v>
      </c>
    </row>
    <row r="33" spans="1:18" ht="12.75" x14ac:dyDescent="0.2">
      <c r="A33" s="296" t="s">
        <v>208</v>
      </c>
      <c r="B33" s="205">
        <v>0.2</v>
      </c>
      <c r="C33" s="206" t="s">
        <v>222</v>
      </c>
      <c r="D33" s="256"/>
      <c r="E33" s="256"/>
      <c r="F33" s="257"/>
      <c r="G33" s="257"/>
      <c r="H33" s="257"/>
      <c r="I33" s="257"/>
      <c r="J33" s="257"/>
      <c r="K33" s="257"/>
      <c r="L33" s="257"/>
      <c r="M33" s="257"/>
      <c r="N33" s="257"/>
      <c r="O33" s="257"/>
      <c r="P33" s="257"/>
      <c r="Q33" s="257"/>
      <c r="R33" s="16">
        <f t="shared" si="9"/>
        <v>0</v>
      </c>
    </row>
    <row r="34" spans="1:18" ht="12.75" x14ac:dyDescent="0.2">
      <c r="A34" s="296" t="s">
        <v>209</v>
      </c>
      <c r="B34" s="205">
        <v>0.2</v>
      </c>
      <c r="C34" s="206" t="s">
        <v>222</v>
      </c>
      <c r="D34" s="256"/>
      <c r="E34" s="256"/>
      <c r="F34" s="257"/>
      <c r="G34" s="257"/>
      <c r="H34" s="257"/>
      <c r="I34" s="257"/>
      <c r="J34" s="257"/>
      <c r="K34" s="257"/>
      <c r="L34" s="257"/>
      <c r="M34" s="257"/>
      <c r="N34" s="257"/>
      <c r="O34" s="257"/>
      <c r="P34" s="257"/>
      <c r="Q34" s="257"/>
      <c r="R34" s="16">
        <f t="shared" si="9"/>
        <v>0</v>
      </c>
    </row>
    <row r="35" spans="1:18" ht="12.75" x14ac:dyDescent="0.2">
      <c r="A35" s="296" t="s">
        <v>179</v>
      </c>
      <c r="B35" s="205">
        <v>0.2</v>
      </c>
      <c r="C35" s="206" t="s">
        <v>222</v>
      </c>
      <c r="D35" s="256"/>
      <c r="E35" s="256"/>
      <c r="F35" s="257"/>
      <c r="G35" s="257"/>
      <c r="H35" s="257"/>
      <c r="I35" s="257"/>
      <c r="J35" s="257"/>
      <c r="K35" s="257"/>
      <c r="L35" s="257"/>
      <c r="M35" s="257"/>
      <c r="N35" s="257"/>
      <c r="O35" s="257"/>
      <c r="P35" s="257"/>
      <c r="Q35" s="257"/>
      <c r="R35" s="16">
        <f t="shared" si="9"/>
        <v>0</v>
      </c>
    </row>
    <row r="36" spans="1:18" ht="12.75" x14ac:dyDescent="0.2">
      <c r="A36" s="296" t="s">
        <v>210</v>
      </c>
      <c r="B36" s="205">
        <v>0</v>
      </c>
      <c r="C36" s="206" t="s">
        <v>225</v>
      </c>
      <c r="D36" s="256">
        <v>25</v>
      </c>
      <c r="E36" s="256"/>
      <c r="F36" s="257"/>
      <c r="G36" s="257"/>
      <c r="H36" s="257"/>
      <c r="I36" s="257"/>
      <c r="J36" s="257"/>
      <c r="K36" s="257"/>
      <c r="L36" s="257"/>
      <c r="M36" s="257"/>
      <c r="N36" s="257"/>
      <c r="O36" s="257"/>
      <c r="P36" s="257"/>
      <c r="Q36" s="257"/>
      <c r="R36" s="16">
        <f t="shared" si="9"/>
        <v>0</v>
      </c>
    </row>
    <row r="37" spans="1:18" ht="12.75" x14ac:dyDescent="0.2">
      <c r="A37" s="296" t="s">
        <v>211</v>
      </c>
      <c r="B37" s="205">
        <v>0.2</v>
      </c>
      <c r="C37" s="206" t="s">
        <v>222</v>
      </c>
      <c r="D37" s="256">
        <v>18</v>
      </c>
      <c r="E37" s="256"/>
      <c r="F37" s="257"/>
      <c r="G37" s="257"/>
      <c r="H37" s="257"/>
      <c r="I37" s="257"/>
      <c r="J37" s="257"/>
      <c r="K37" s="257"/>
      <c r="L37" s="257"/>
      <c r="M37" s="257"/>
      <c r="N37" s="257"/>
      <c r="O37" s="257"/>
      <c r="P37" s="257"/>
      <c r="Q37" s="257"/>
      <c r="R37" s="16">
        <f t="shared" si="9"/>
        <v>0</v>
      </c>
    </row>
    <row r="38" spans="1:18" ht="12.75" x14ac:dyDescent="0.2">
      <c r="A38" s="296" t="s">
        <v>212</v>
      </c>
      <c r="B38" s="205">
        <v>0.2</v>
      </c>
      <c r="C38" s="206" t="s">
        <v>222</v>
      </c>
      <c r="D38" s="256"/>
      <c r="E38" s="256"/>
      <c r="F38" s="257"/>
      <c r="G38" s="257"/>
      <c r="H38" s="257"/>
      <c r="I38" s="257"/>
      <c r="J38" s="257"/>
      <c r="K38" s="257"/>
      <c r="L38" s="257"/>
      <c r="M38" s="257"/>
      <c r="N38" s="257"/>
      <c r="O38" s="257"/>
      <c r="P38" s="257"/>
      <c r="Q38" s="257"/>
      <c r="R38" s="16">
        <f t="shared" si="9"/>
        <v>0</v>
      </c>
    </row>
    <row r="39" spans="1:18" ht="12.75" x14ac:dyDescent="0.2">
      <c r="A39" s="296" t="s">
        <v>213</v>
      </c>
      <c r="B39" s="205">
        <v>0.2</v>
      </c>
      <c r="C39" s="206" t="s">
        <v>222</v>
      </c>
      <c r="D39" s="256"/>
      <c r="E39" s="256"/>
      <c r="F39" s="257"/>
      <c r="G39" s="257"/>
      <c r="H39" s="257"/>
      <c r="I39" s="257"/>
      <c r="J39" s="257"/>
      <c r="K39" s="257"/>
      <c r="L39" s="257"/>
      <c r="M39" s="257"/>
      <c r="N39" s="257"/>
      <c r="O39" s="257"/>
      <c r="P39" s="257"/>
      <c r="Q39" s="257"/>
      <c r="R39" s="16">
        <f t="shared" si="8"/>
        <v>0</v>
      </c>
    </row>
    <row r="40" spans="1:18" ht="12.75" x14ac:dyDescent="0.2">
      <c r="A40" s="296" t="s">
        <v>214</v>
      </c>
      <c r="B40" s="205">
        <v>0</v>
      </c>
      <c r="C40" s="206" t="s">
        <v>224</v>
      </c>
      <c r="D40" s="256"/>
      <c r="E40" s="256"/>
      <c r="F40" s="257"/>
      <c r="G40" s="257"/>
      <c r="H40" s="257"/>
      <c r="I40" s="257"/>
      <c r="J40" s="257"/>
      <c r="K40" s="257"/>
      <c r="L40" s="257"/>
      <c r="M40" s="257"/>
      <c r="N40" s="257"/>
      <c r="O40" s="257"/>
      <c r="P40" s="257"/>
      <c r="Q40" s="257"/>
      <c r="R40" s="16">
        <f t="shared" si="8"/>
        <v>0</v>
      </c>
    </row>
    <row r="41" spans="1:18" ht="12.75" x14ac:dyDescent="0.2">
      <c r="A41" s="296" t="s">
        <v>180</v>
      </c>
      <c r="B41" s="205">
        <v>0.1</v>
      </c>
      <c r="C41" s="206" t="s">
        <v>225</v>
      </c>
      <c r="D41" s="256"/>
      <c r="E41" s="256"/>
      <c r="F41" s="257"/>
      <c r="G41" s="257"/>
      <c r="H41" s="257"/>
      <c r="I41" s="257"/>
      <c r="J41" s="257"/>
      <c r="K41" s="257"/>
      <c r="L41" s="257"/>
      <c r="M41" s="257"/>
      <c r="N41" s="257"/>
      <c r="O41" s="257"/>
      <c r="P41" s="257"/>
      <c r="Q41" s="257"/>
      <c r="R41" s="16">
        <f t="shared" si="8"/>
        <v>0</v>
      </c>
    </row>
    <row r="42" spans="1:18" ht="12.75" x14ac:dyDescent="0.2">
      <c r="A42" s="296" t="s">
        <v>40</v>
      </c>
      <c r="B42" s="205">
        <v>0.2</v>
      </c>
      <c r="C42" s="206" t="s">
        <v>222</v>
      </c>
      <c r="D42" s="256">
        <v>245</v>
      </c>
      <c r="E42" s="256">
        <v>250</v>
      </c>
      <c r="F42" s="257">
        <v>300</v>
      </c>
      <c r="G42" s="257">
        <v>300</v>
      </c>
      <c r="H42" s="257">
        <v>300</v>
      </c>
      <c r="I42" s="257">
        <v>300</v>
      </c>
      <c r="J42" s="257">
        <v>300</v>
      </c>
      <c r="K42" s="257">
        <v>300</v>
      </c>
      <c r="L42" s="257">
        <v>300</v>
      </c>
      <c r="M42" s="257">
        <v>300</v>
      </c>
      <c r="N42" s="257">
        <v>300</v>
      </c>
      <c r="O42" s="257">
        <v>300</v>
      </c>
      <c r="P42" s="257">
        <v>300</v>
      </c>
      <c r="Q42" s="257">
        <v>300</v>
      </c>
      <c r="R42" s="16">
        <f t="shared" si="8"/>
        <v>3600</v>
      </c>
    </row>
    <row r="43" spans="1:18" ht="14.1" customHeight="1" x14ac:dyDescent="0.2">
      <c r="A43" s="296" t="s">
        <v>195</v>
      </c>
      <c r="B43" s="205">
        <v>0</v>
      </c>
      <c r="C43" s="206" t="s">
        <v>223</v>
      </c>
      <c r="D43" s="256"/>
      <c r="E43" s="256"/>
      <c r="F43" s="257"/>
      <c r="G43" s="257"/>
      <c r="H43" s="257"/>
      <c r="I43" s="257"/>
      <c r="J43" s="257"/>
      <c r="K43" s="257"/>
      <c r="L43" s="257"/>
      <c r="M43" s="257"/>
      <c r="N43" s="257"/>
      <c r="O43" s="257"/>
      <c r="P43" s="257"/>
      <c r="Q43" s="257"/>
      <c r="R43" s="16">
        <f t="shared" si="8"/>
        <v>0</v>
      </c>
    </row>
    <row r="44" spans="1:18" ht="14.1" customHeight="1" x14ac:dyDescent="0.2">
      <c r="A44" s="296" t="s">
        <v>43</v>
      </c>
      <c r="B44" s="205">
        <v>0</v>
      </c>
      <c r="C44" s="206" t="s">
        <v>223</v>
      </c>
      <c r="D44" s="256"/>
      <c r="E44" s="256"/>
      <c r="F44" s="257"/>
      <c r="G44" s="257"/>
      <c r="H44" s="257"/>
      <c r="I44" s="257"/>
      <c r="J44" s="257"/>
      <c r="K44" s="257"/>
      <c r="L44" s="257"/>
      <c r="M44" s="257"/>
      <c r="N44" s="257"/>
      <c r="O44" s="257"/>
      <c r="P44" s="257"/>
      <c r="Q44" s="257"/>
      <c r="R44" s="16">
        <f t="shared" si="8"/>
        <v>0</v>
      </c>
    </row>
    <row r="45" spans="1:18" s="1" customFormat="1" ht="14.1" customHeight="1" x14ac:dyDescent="0.2">
      <c r="A45" s="296" t="s">
        <v>2</v>
      </c>
      <c r="B45" s="205">
        <v>0</v>
      </c>
      <c r="C45" s="206" t="s">
        <v>223</v>
      </c>
      <c r="D45" s="258">
        <v>10</v>
      </c>
      <c r="E45" s="258">
        <v>9</v>
      </c>
      <c r="F45" s="259">
        <f>+MthlyCapex!C27+MthlyCapex!C28</f>
        <v>9</v>
      </c>
      <c r="G45" s="259">
        <f>+MthlyCapex!D27+MthlyCapex!D28</f>
        <v>72</v>
      </c>
      <c r="H45" s="259">
        <f>+MthlyCapex!E27+MthlyCapex!E28</f>
        <v>72</v>
      </c>
      <c r="I45" s="259">
        <f>+MthlyCapex!F27+MthlyCapex!F28</f>
        <v>72</v>
      </c>
      <c r="J45" s="259">
        <f>+MthlyCapex!G27+MthlyCapex!G28</f>
        <v>72</v>
      </c>
      <c r="K45" s="259">
        <f>+MthlyCapex!H27+MthlyCapex!H28</f>
        <v>72</v>
      </c>
      <c r="L45" s="259">
        <f>+MthlyCapex!I27+MthlyCapex!I28</f>
        <v>72</v>
      </c>
      <c r="M45" s="259">
        <f>+MthlyCapex!J27+MthlyCapex!J28</f>
        <v>72</v>
      </c>
      <c r="N45" s="259">
        <f>+MthlyCapex!K27+MthlyCapex!K28</f>
        <v>72</v>
      </c>
      <c r="O45" s="259">
        <f>+MthlyCapex!L27+MthlyCapex!L28</f>
        <v>72</v>
      </c>
      <c r="P45" s="259">
        <f>+MthlyCapex!M27+MthlyCapex!M28</f>
        <v>72</v>
      </c>
      <c r="Q45" s="259">
        <f>+MthlyCapex!N27+MthlyCapex!N28</f>
        <v>72</v>
      </c>
      <c r="R45" s="16">
        <f>SUM(F45:Q45)</f>
        <v>801</v>
      </c>
    </row>
    <row r="46" spans="1:18" s="1" customFormat="1" ht="14.1" customHeight="1" x14ac:dyDescent="0.2">
      <c r="A46" s="296" t="s">
        <v>30</v>
      </c>
      <c r="B46" s="205">
        <v>0</v>
      </c>
      <c r="C46" s="206" t="s">
        <v>223</v>
      </c>
      <c r="D46" s="258"/>
      <c r="E46" s="258"/>
      <c r="F46" s="259"/>
      <c r="G46" s="259"/>
      <c r="H46" s="259"/>
      <c r="I46" s="259"/>
      <c r="J46" s="259"/>
      <c r="K46" s="259"/>
      <c r="L46" s="259"/>
      <c r="M46" s="259"/>
      <c r="N46" s="259"/>
      <c r="O46" s="259"/>
      <c r="P46" s="259"/>
      <c r="Q46" s="259"/>
      <c r="R46" s="16"/>
    </row>
    <row r="47" spans="1:18" s="1" customFormat="1" ht="14.1" customHeight="1" x14ac:dyDescent="0.2">
      <c r="A47" s="297" t="s">
        <v>218</v>
      </c>
      <c r="B47" s="298"/>
      <c r="C47" s="261"/>
      <c r="D47" s="260">
        <f t="shared" ref="D47:Q47" si="10">SUM(D19:D45)</f>
        <v>693</v>
      </c>
      <c r="E47" s="260">
        <f t="shared" si="10"/>
        <v>654</v>
      </c>
      <c r="F47" s="260">
        <f t="shared" si="10"/>
        <v>704</v>
      </c>
      <c r="G47" s="260">
        <f t="shared" si="10"/>
        <v>767</v>
      </c>
      <c r="H47" s="260">
        <f t="shared" si="10"/>
        <v>767</v>
      </c>
      <c r="I47" s="260">
        <f t="shared" si="10"/>
        <v>767</v>
      </c>
      <c r="J47" s="260">
        <f t="shared" si="10"/>
        <v>767</v>
      </c>
      <c r="K47" s="260">
        <f t="shared" si="10"/>
        <v>767</v>
      </c>
      <c r="L47" s="260">
        <f t="shared" si="10"/>
        <v>767</v>
      </c>
      <c r="M47" s="260">
        <f t="shared" si="10"/>
        <v>767</v>
      </c>
      <c r="N47" s="260">
        <f t="shared" si="10"/>
        <v>767</v>
      </c>
      <c r="O47" s="260">
        <f t="shared" si="10"/>
        <v>767</v>
      </c>
      <c r="P47" s="260">
        <f t="shared" si="10"/>
        <v>767</v>
      </c>
      <c r="Q47" s="260">
        <f t="shared" si="10"/>
        <v>767</v>
      </c>
      <c r="R47" s="233">
        <f t="shared" si="8"/>
        <v>9141</v>
      </c>
    </row>
    <row r="48" spans="1:18" s="1" customFormat="1" ht="14.1" customHeight="1" thickBot="1" x14ac:dyDescent="0.25">
      <c r="A48" s="234" t="s">
        <v>26</v>
      </c>
      <c r="B48" s="230"/>
      <c r="C48" s="231"/>
      <c r="D48" s="217">
        <f t="shared" ref="D48:Q48" si="11">IF(ISERR(D47/D7),0,D47/D7)</f>
        <v>0.153</v>
      </c>
      <c r="E48" s="217">
        <f t="shared" si="11"/>
        <v>0.23</v>
      </c>
      <c r="F48" s="217">
        <f t="shared" si="11"/>
        <v>0.23499999999999999</v>
      </c>
      <c r="G48" s="217">
        <f t="shared" si="11"/>
        <v>0.25600000000000001</v>
      </c>
      <c r="H48" s="217">
        <f t="shared" si="11"/>
        <v>0.25600000000000001</v>
      </c>
      <c r="I48" s="217">
        <f t="shared" si="11"/>
        <v>0.219</v>
      </c>
      <c r="J48" s="217">
        <f t="shared" si="11"/>
        <v>0.219</v>
      </c>
      <c r="K48" s="217">
        <f t="shared" si="11"/>
        <v>0.219</v>
      </c>
      <c r="L48" s="217">
        <f t="shared" si="11"/>
        <v>0.192</v>
      </c>
      <c r="M48" s="217">
        <f t="shared" si="11"/>
        <v>0.192</v>
      </c>
      <c r="N48" s="217">
        <f t="shared" si="11"/>
        <v>0.192</v>
      </c>
      <c r="O48" s="217">
        <f t="shared" si="11"/>
        <v>0.17</v>
      </c>
      <c r="P48" s="217">
        <f t="shared" si="11"/>
        <v>0.17</v>
      </c>
      <c r="Q48" s="217">
        <f t="shared" si="11"/>
        <v>0.17</v>
      </c>
      <c r="R48" s="232">
        <f>R47/R7</f>
        <v>0.20300000000000001</v>
      </c>
    </row>
    <row r="49" spans="1:18" s="1" customFormat="1" ht="14.1" customHeight="1" thickBot="1" x14ac:dyDescent="0.25">
      <c r="A49" s="222" t="s">
        <v>27</v>
      </c>
      <c r="B49" s="223"/>
      <c r="C49" s="224"/>
      <c r="D49" s="212">
        <f t="shared" ref="D49:R49" si="12">+D16-D47</f>
        <v>1472</v>
      </c>
      <c r="E49" s="212">
        <f t="shared" si="12"/>
        <v>620</v>
      </c>
      <c r="F49" s="212">
        <f t="shared" si="12"/>
        <v>546</v>
      </c>
      <c r="G49" s="212">
        <f t="shared" si="12"/>
        <v>483</v>
      </c>
      <c r="H49" s="212">
        <f t="shared" si="12"/>
        <v>483</v>
      </c>
      <c r="I49" s="212">
        <f t="shared" si="12"/>
        <v>733</v>
      </c>
      <c r="J49" s="212">
        <f t="shared" si="12"/>
        <v>733</v>
      </c>
      <c r="K49" s="212">
        <f t="shared" si="12"/>
        <v>733</v>
      </c>
      <c r="L49" s="212">
        <f t="shared" si="12"/>
        <v>983</v>
      </c>
      <c r="M49" s="212">
        <f t="shared" si="12"/>
        <v>983</v>
      </c>
      <c r="N49" s="212">
        <f t="shared" si="12"/>
        <v>983</v>
      </c>
      <c r="O49" s="212">
        <f t="shared" si="12"/>
        <v>1233</v>
      </c>
      <c r="P49" s="212">
        <f t="shared" si="12"/>
        <v>1233</v>
      </c>
      <c r="Q49" s="212">
        <f t="shared" si="12"/>
        <v>1233</v>
      </c>
      <c r="R49" s="225">
        <f t="shared" si="12"/>
        <v>10359</v>
      </c>
    </row>
    <row r="50" spans="1:18" s="1" customFormat="1" ht="14.1" customHeight="1" thickBot="1" x14ac:dyDescent="0.25">
      <c r="A50" s="234" t="s">
        <v>24</v>
      </c>
      <c r="B50" s="230"/>
      <c r="C50" s="231"/>
      <c r="D50" s="217">
        <f t="shared" ref="D50:Q50" si="13">IF(ISERR(D49/D7),0,D49/D7)</f>
        <v>0.32600000000000001</v>
      </c>
      <c r="E50" s="217">
        <f t="shared" si="13"/>
        <v>0.218</v>
      </c>
      <c r="F50" s="217">
        <f t="shared" si="13"/>
        <v>0.182</v>
      </c>
      <c r="G50" s="217">
        <f t="shared" si="13"/>
        <v>0.161</v>
      </c>
      <c r="H50" s="217">
        <f t="shared" si="13"/>
        <v>0.161</v>
      </c>
      <c r="I50" s="217">
        <f t="shared" si="13"/>
        <v>0.20899999999999999</v>
      </c>
      <c r="J50" s="217">
        <f t="shared" si="13"/>
        <v>0.20899999999999999</v>
      </c>
      <c r="K50" s="217">
        <f t="shared" si="13"/>
        <v>0.20899999999999999</v>
      </c>
      <c r="L50" s="217">
        <f t="shared" si="13"/>
        <v>0.246</v>
      </c>
      <c r="M50" s="217">
        <f t="shared" si="13"/>
        <v>0.246</v>
      </c>
      <c r="N50" s="217">
        <f t="shared" si="13"/>
        <v>0.246</v>
      </c>
      <c r="O50" s="217">
        <f t="shared" si="13"/>
        <v>0.27400000000000002</v>
      </c>
      <c r="P50" s="217">
        <f t="shared" si="13"/>
        <v>0.27400000000000002</v>
      </c>
      <c r="Q50" s="217">
        <f t="shared" si="13"/>
        <v>0.27400000000000002</v>
      </c>
      <c r="R50" s="232">
        <f>R49/R7</f>
        <v>0.23</v>
      </c>
    </row>
    <row r="51" spans="1:18" s="1" customFormat="1" ht="14.1" customHeight="1" x14ac:dyDescent="0.2">
      <c r="A51" s="20"/>
      <c r="B51" s="122"/>
      <c r="C51" s="166"/>
      <c r="D51" s="218"/>
      <c r="E51" s="218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16"/>
    </row>
    <row r="52" spans="1:18" s="1" customFormat="1" ht="14.1" customHeight="1" x14ac:dyDescent="0.2">
      <c r="A52" s="34"/>
      <c r="B52" s="205"/>
      <c r="C52" s="206"/>
      <c r="D52" s="213"/>
      <c r="E52" s="213"/>
      <c r="F52" s="121"/>
      <c r="G52" s="121"/>
      <c r="H52" s="121"/>
      <c r="I52" s="121"/>
      <c r="J52" s="121"/>
      <c r="K52" s="121"/>
      <c r="L52" s="121"/>
      <c r="M52" s="121"/>
      <c r="N52" s="121"/>
      <c r="O52" s="121"/>
      <c r="P52" s="121"/>
      <c r="Q52" s="121"/>
      <c r="R52" s="16"/>
    </row>
    <row r="53" spans="1:18" ht="14.1" customHeight="1" thickBot="1" x14ac:dyDescent="0.25">
      <c r="A53" s="13"/>
      <c r="B53" s="205"/>
      <c r="C53" s="206"/>
      <c r="D53" s="219"/>
      <c r="E53" s="21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16"/>
    </row>
    <row r="54" spans="1:18" s="1" customFormat="1" ht="14.1" customHeight="1" thickBot="1" x14ac:dyDescent="0.25">
      <c r="A54" s="222" t="s">
        <v>31</v>
      </c>
      <c r="B54" s="235"/>
      <c r="C54" s="236"/>
      <c r="D54" s="212">
        <f>+D49-D52</f>
        <v>1472</v>
      </c>
      <c r="E54" s="212">
        <f>+E49-E52</f>
        <v>620</v>
      </c>
      <c r="F54" s="212">
        <f t="shared" ref="F54:R54" si="14">+F49-F52</f>
        <v>546</v>
      </c>
      <c r="G54" s="212">
        <f t="shared" si="14"/>
        <v>483</v>
      </c>
      <c r="H54" s="212">
        <f t="shared" si="14"/>
        <v>483</v>
      </c>
      <c r="I54" s="212">
        <f t="shared" si="14"/>
        <v>733</v>
      </c>
      <c r="J54" s="212">
        <f t="shared" si="14"/>
        <v>733</v>
      </c>
      <c r="K54" s="212">
        <f t="shared" si="14"/>
        <v>733</v>
      </c>
      <c r="L54" s="212">
        <f t="shared" si="14"/>
        <v>983</v>
      </c>
      <c r="M54" s="212">
        <f t="shared" si="14"/>
        <v>983</v>
      </c>
      <c r="N54" s="212">
        <f t="shared" si="14"/>
        <v>983</v>
      </c>
      <c r="O54" s="212">
        <f t="shared" si="14"/>
        <v>1233</v>
      </c>
      <c r="P54" s="212">
        <f t="shared" si="14"/>
        <v>1233</v>
      </c>
      <c r="Q54" s="212">
        <f t="shared" si="14"/>
        <v>1233</v>
      </c>
      <c r="R54" s="225">
        <f t="shared" si="14"/>
        <v>10359</v>
      </c>
    </row>
    <row r="55" spans="1:18" s="1" customFormat="1" ht="14.1" customHeight="1" thickBot="1" x14ac:dyDescent="0.25">
      <c r="A55" s="229" t="s">
        <v>24</v>
      </c>
      <c r="B55" s="237"/>
      <c r="C55" s="238"/>
      <c r="D55" s="217">
        <f t="shared" ref="D55:Q55" si="15">IF(ISERR(D54/D7),0,D54/D7)</f>
        <v>0.32600000000000001</v>
      </c>
      <c r="E55" s="217">
        <f t="shared" si="15"/>
        <v>0.218</v>
      </c>
      <c r="F55" s="217">
        <f t="shared" si="15"/>
        <v>0.182</v>
      </c>
      <c r="G55" s="217">
        <f t="shared" si="15"/>
        <v>0.161</v>
      </c>
      <c r="H55" s="217">
        <f t="shared" si="15"/>
        <v>0.161</v>
      </c>
      <c r="I55" s="217">
        <f t="shared" si="15"/>
        <v>0.20899999999999999</v>
      </c>
      <c r="J55" s="217">
        <f t="shared" si="15"/>
        <v>0.20899999999999999</v>
      </c>
      <c r="K55" s="217">
        <f t="shared" si="15"/>
        <v>0.20899999999999999</v>
      </c>
      <c r="L55" s="217">
        <f t="shared" si="15"/>
        <v>0.246</v>
      </c>
      <c r="M55" s="217">
        <f t="shared" si="15"/>
        <v>0.246</v>
      </c>
      <c r="N55" s="217">
        <f t="shared" si="15"/>
        <v>0.246</v>
      </c>
      <c r="O55" s="217">
        <f t="shared" si="15"/>
        <v>0.27400000000000002</v>
      </c>
      <c r="P55" s="217">
        <f t="shared" si="15"/>
        <v>0.27400000000000002</v>
      </c>
      <c r="Q55" s="217">
        <f t="shared" si="15"/>
        <v>0.27400000000000002</v>
      </c>
      <c r="R55" s="232">
        <f>R54/R7</f>
        <v>0.23</v>
      </c>
    </row>
    <row r="56" spans="1:18" ht="14.1" customHeight="1" x14ac:dyDescent="0.2">
      <c r="A56" s="13"/>
      <c r="B56" s="205"/>
      <c r="C56" s="206"/>
      <c r="D56" s="210"/>
      <c r="E56" s="210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6"/>
    </row>
    <row r="57" spans="1:18" ht="14.1" customHeight="1" x14ac:dyDescent="0.2">
      <c r="A57" s="13" t="s">
        <v>62</v>
      </c>
      <c r="B57" s="205">
        <v>0.05</v>
      </c>
      <c r="C57" s="206"/>
      <c r="D57" s="210"/>
      <c r="E57" s="210"/>
      <c r="F57" s="14">
        <f>MAX(-ROUND('BS Detl'!B11*$B$57/12,0),0)</f>
        <v>0</v>
      </c>
      <c r="G57" s="14">
        <f>MAX(-ROUND('BS Detl'!C11*$B$57/12,0),0)</f>
        <v>0</v>
      </c>
      <c r="H57" s="14">
        <f>MAX(-ROUND('BS Detl'!D11*$B$57/12,0),0)</f>
        <v>0</v>
      </c>
      <c r="I57" s="14">
        <f ca="1">MAX(-ROUND('BS Detl'!E11*$B$57/12,0),0)</f>
        <v>0</v>
      </c>
      <c r="J57" s="14">
        <f ca="1">MAX(-ROUND('BS Detl'!F11*$B$57/12,0),0)</f>
        <v>0</v>
      </c>
      <c r="K57" s="14">
        <f ca="1">MAX(-ROUND('BS Detl'!G11*$B$57/12,0),0)</f>
        <v>0</v>
      </c>
      <c r="L57" s="14">
        <f ca="1">MAX(-ROUND('BS Detl'!H11*$B$57/12,0),0)</f>
        <v>0</v>
      </c>
      <c r="M57" s="14">
        <f ca="1">MAX(-ROUND('BS Detl'!I11*$B$57/12,0),0)</f>
        <v>0</v>
      </c>
      <c r="N57" s="14">
        <f ca="1">MAX(-ROUND('BS Detl'!J11*$B$57/12,0),0)</f>
        <v>0</v>
      </c>
      <c r="O57" s="14">
        <f ca="1">MAX(-ROUND('BS Detl'!K11*$B$57/12,0),0)</f>
        <v>0</v>
      </c>
      <c r="P57" s="14">
        <f ca="1">MAX(-ROUND('BS Detl'!L11*$B$57/12,0),0)</f>
        <v>0</v>
      </c>
      <c r="Q57" s="14">
        <f ca="1">MAX(-ROUND('BS Detl'!M11*$B$57/12,0),0)</f>
        <v>0</v>
      </c>
      <c r="R57" s="16">
        <f ca="1">SUM(F57:Q57)</f>
        <v>0</v>
      </c>
    </row>
    <row r="58" spans="1:18" ht="14.1" customHeight="1" x14ac:dyDescent="0.2">
      <c r="A58" s="13" t="s">
        <v>236</v>
      </c>
      <c r="B58" s="205">
        <v>0</v>
      </c>
      <c r="C58" s="206"/>
      <c r="D58" s="211"/>
      <c r="E58" s="211"/>
      <c r="F58" s="155">
        <f>-ROUND(Loans!D20,0)-Loans!D43</f>
        <v>0</v>
      </c>
      <c r="G58" s="155">
        <f>-ROUND(Loans!E20,0)-Loans!E43</f>
        <v>0</v>
      </c>
      <c r="H58" s="155">
        <f>-ROUND(Loans!F20,0)-Loans!F43</f>
        <v>0</v>
      </c>
      <c r="I58" s="155">
        <f>-ROUND(Loans!G20,0)-Loans!G43</f>
        <v>0</v>
      </c>
      <c r="J58" s="155">
        <f>-ROUND(Loans!H20,0)-Loans!H43</f>
        <v>0</v>
      </c>
      <c r="K58" s="155">
        <f>-ROUND(Loans!I20,0)-Loans!I43</f>
        <v>0</v>
      </c>
      <c r="L58" s="155">
        <f>-ROUND(Loans!J20,0)-Loans!J43</f>
        <v>0</v>
      </c>
      <c r="M58" s="155">
        <f>-ROUND(Loans!K20,0)-Loans!K43</f>
        <v>0</v>
      </c>
      <c r="N58" s="155">
        <f>-ROUND(Loans!L20,0)-Loans!L43</f>
        <v>0</v>
      </c>
      <c r="O58" s="155">
        <f>-ROUND(Loans!M20,0)-Loans!M43</f>
        <v>0</v>
      </c>
      <c r="P58" s="155">
        <f>-ROUND(Loans!N20,0)-Loans!N43</f>
        <v>0</v>
      </c>
      <c r="Q58" s="155">
        <f>-ROUND(Loans!O20,0)-Loans!O43</f>
        <v>0</v>
      </c>
      <c r="R58" s="16">
        <f>SUM(F58:Q58)</f>
        <v>0</v>
      </c>
    </row>
    <row r="59" spans="1:18" ht="14.1" customHeight="1" x14ac:dyDescent="0.2">
      <c r="A59" s="13" t="s">
        <v>57</v>
      </c>
      <c r="B59" s="205">
        <v>0</v>
      </c>
      <c r="C59" s="206"/>
      <c r="D59" s="211"/>
      <c r="E59" s="211"/>
      <c r="F59" s="155">
        <f>-ROUND(MthlyHP!D53,0)</f>
        <v>0</v>
      </c>
      <c r="G59" s="155">
        <f>-ROUND(MthlyHP!E53,0)</f>
        <v>-20</v>
      </c>
      <c r="H59" s="155">
        <f>-ROUND(MthlyHP!F53,0)</f>
        <v>-20</v>
      </c>
      <c r="I59" s="155">
        <f>-ROUND(MthlyHP!G53,0)</f>
        <v>-19</v>
      </c>
      <c r="J59" s="155">
        <f>-ROUND(MthlyHP!H53,0)</f>
        <v>-18</v>
      </c>
      <c r="K59" s="155">
        <f>-ROUND(MthlyHP!I53,0)</f>
        <v>-18</v>
      </c>
      <c r="L59" s="155">
        <f>-ROUND(MthlyHP!J53,0)</f>
        <v>-17</v>
      </c>
      <c r="M59" s="155">
        <f>-ROUND(MthlyHP!K53,0)</f>
        <v>-17</v>
      </c>
      <c r="N59" s="155">
        <f>-ROUND(MthlyHP!L53,0)</f>
        <v>-16</v>
      </c>
      <c r="O59" s="155">
        <f>-ROUND(MthlyHP!M53,0)</f>
        <v>-16</v>
      </c>
      <c r="P59" s="155">
        <f>-ROUND(MthlyHP!N53,0)</f>
        <v>-15</v>
      </c>
      <c r="Q59" s="155">
        <f>-ROUND(MthlyHP!O53,0)</f>
        <v>-14</v>
      </c>
      <c r="R59" s="16">
        <f>SUM(F59:Q59)</f>
        <v>-190</v>
      </c>
    </row>
    <row r="60" spans="1:18" ht="14.1" customHeight="1" thickBot="1" x14ac:dyDescent="0.25">
      <c r="A60" s="239"/>
      <c r="B60" s="240"/>
      <c r="C60" s="241"/>
      <c r="D60" s="210"/>
      <c r="E60" s="210"/>
      <c r="F60" s="210"/>
      <c r="G60" s="210"/>
      <c r="H60" s="210"/>
      <c r="I60" s="210"/>
      <c r="J60" s="210"/>
      <c r="K60" s="210"/>
      <c r="L60" s="210"/>
      <c r="M60" s="210"/>
      <c r="N60" s="210"/>
      <c r="O60" s="210"/>
      <c r="P60" s="210"/>
      <c r="Q60" s="210"/>
      <c r="R60" s="233"/>
    </row>
    <row r="61" spans="1:18" s="1" customFormat="1" ht="14.1" customHeight="1" thickBot="1" x14ac:dyDescent="0.25">
      <c r="A61" s="222" t="s">
        <v>35</v>
      </c>
      <c r="B61" s="235"/>
      <c r="C61" s="236"/>
      <c r="D61" s="212">
        <f>+D54+D58+D59</f>
        <v>1472</v>
      </c>
      <c r="E61" s="212">
        <f>+E54+E58+E59</f>
        <v>620</v>
      </c>
      <c r="F61" s="220">
        <f>+F54+F57+F58+F59</f>
        <v>546</v>
      </c>
      <c r="G61" s="220">
        <f>+G54+G57+G58+G59</f>
        <v>463</v>
      </c>
      <c r="H61" s="220">
        <f t="shared" ref="H61:R61" si="16">+H54+H57+H58+H59</f>
        <v>463</v>
      </c>
      <c r="I61" s="220">
        <f t="shared" ca="1" si="16"/>
        <v>714</v>
      </c>
      <c r="J61" s="220">
        <f t="shared" ca="1" si="16"/>
        <v>715</v>
      </c>
      <c r="K61" s="220">
        <f t="shared" ca="1" si="16"/>
        <v>715</v>
      </c>
      <c r="L61" s="220">
        <f t="shared" ca="1" si="16"/>
        <v>966</v>
      </c>
      <c r="M61" s="220">
        <f t="shared" ca="1" si="16"/>
        <v>966</v>
      </c>
      <c r="N61" s="220">
        <f t="shared" ca="1" si="16"/>
        <v>967</v>
      </c>
      <c r="O61" s="220">
        <f t="shared" ca="1" si="16"/>
        <v>1217</v>
      </c>
      <c r="P61" s="220">
        <f t="shared" ca="1" si="16"/>
        <v>1218</v>
      </c>
      <c r="Q61" s="220">
        <f t="shared" ca="1" si="16"/>
        <v>1219</v>
      </c>
      <c r="R61" s="242">
        <f t="shared" ca="1" si="16"/>
        <v>10169</v>
      </c>
    </row>
    <row r="62" spans="1:18" ht="14.1" customHeight="1" x14ac:dyDescent="0.2">
      <c r="A62" s="13"/>
      <c r="B62" s="205"/>
      <c r="C62" s="206"/>
      <c r="D62" s="210"/>
      <c r="E62" s="210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5"/>
    </row>
    <row r="63" spans="1:18" ht="14.1" customHeight="1" x14ac:dyDescent="0.2">
      <c r="A63" s="13" t="s">
        <v>194</v>
      </c>
      <c r="B63" s="205"/>
      <c r="C63" s="206"/>
      <c r="D63" s="211"/>
      <c r="E63" s="211"/>
      <c r="F63" s="120"/>
      <c r="G63" s="120"/>
      <c r="H63" s="120"/>
      <c r="I63" s="120"/>
      <c r="J63" s="120"/>
      <c r="K63" s="120"/>
      <c r="L63" s="120"/>
      <c r="M63" s="120"/>
      <c r="N63" s="120"/>
      <c r="O63" s="120"/>
      <c r="P63" s="120"/>
      <c r="Q63" s="120">
        <v>1932</v>
      </c>
      <c r="R63" s="15">
        <f>SUM(F63:Q63)</f>
        <v>1932</v>
      </c>
    </row>
    <row r="64" spans="1:18" ht="14.1" customHeight="1" thickBot="1" x14ac:dyDescent="0.25">
      <c r="A64" s="13"/>
      <c r="B64" s="207"/>
      <c r="C64" s="208"/>
      <c r="D64" s="210"/>
      <c r="E64" s="210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5"/>
    </row>
    <row r="65" spans="1:18" s="1" customFormat="1" ht="14.1" customHeight="1" thickBot="1" x14ac:dyDescent="0.25">
      <c r="A65" s="222" t="s">
        <v>37</v>
      </c>
      <c r="B65" s="223"/>
      <c r="C65" s="224"/>
      <c r="D65" s="212">
        <f>+D61-D63</f>
        <v>1472</v>
      </c>
      <c r="E65" s="212">
        <f>+E61-E63</f>
        <v>620</v>
      </c>
      <c r="F65" s="220">
        <f>+F61-F63</f>
        <v>546</v>
      </c>
      <c r="G65" s="220">
        <f t="shared" ref="G65:N65" si="17">+G61-G63</f>
        <v>463</v>
      </c>
      <c r="H65" s="220">
        <f t="shared" si="17"/>
        <v>463</v>
      </c>
      <c r="I65" s="220">
        <f t="shared" ca="1" si="17"/>
        <v>714</v>
      </c>
      <c r="J65" s="220">
        <f t="shared" ca="1" si="17"/>
        <v>715</v>
      </c>
      <c r="K65" s="220">
        <f t="shared" ca="1" si="17"/>
        <v>715</v>
      </c>
      <c r="L65" s="220">
        <f t="shared" ca="1" si="17"/>
        <v>966</v>
      </c>
      <c r="M65" s="220">
        <f t="shared" ca="1" si="17"/>
        <v>966</v>
      </c>
      <c r="N65" s="220">
        <f t="shared" ca="1" si="17"/>
        <v>967</v>
      </c>
      <c r="O65" s="220">
        <f ca="1">+O61-O63</f>
        <v>1217</v>
      </c>
      <c r="P65" s="220">
        <f ca="1">+P61-P63</f>
        <v>1218</v>
      </c>
      <c r="Q65" s="220">
        <f ca="1">+Q61-Q63</f>
        <v>-713</v>
      </c>
      <c r="R65" s="242">
        <f ca="1">+R61-R63</f>
        <v>8237</v>
      </c>
    </row>
    <row r="66" spans="1:18" s="44" customFormat="1" ht="14.1" customHeight="1" thickBot="1" x14ac:dyDescent="0.25">
      <c r="A66" s="41"/>
      <c r="B66" s="124"/>
      <c r="C66" s="168"/>
      <c r="D66" s="221"/>
      <c r="E66" s="221"/>
      <c r="F66" s="170"/>
      <c r="G66" s="170"/>
      <c r="H66" s="170"/>
      <c r="I66" s="170"/>
      <c r="J66" s="170"/>
      <c r="K66" s="170"/>
      <c r="L66" s="170"/>
      <c r="M66" s="170"/>
      <c r="N66" s="170"/>
      <c r="O66" s="170"/>
      <c r="P66" s="170"/>
      <c r="Q66" s="170"/>
      <c r="R66" s="171"/>
    </row>
    <row r="67" spans="1:18" ht="14.1" customHeight="1" thickTop="1" x14ac:dyDescent="0.2">
      <c r="B67"/>
      <c r="C67"/>
    </row>
    <row r="68" spans="1:18" ht="14.1" customHeight="1" x14ac:dyDescent="0.2">
      <c r="A68" s="243" t="s">
        <v>81</v>
      </c>
      <c r="B68" s="244"/>
      <c r="C68" s="245"/>
      <c r="D68" s="246"/>
      <c r="E68" s="246"/>
      <c r="F68" s="247">
        <f>+'BS Detl'!B24</f>
        <v>2630</v>
      </c>
      <c r="G68" s="247">
        <f>+F69</f>
        <v>3176</v>
      </c>
      <c r="H68" s="247">
        <f t="shared" ref="H68:Q68" si="18">+G69</f>
        <v>3639</v>
      </c>
      <c r="I68" s="247">
        <f t="shared" si="18"/>
        <v>4102</v>
      </c>
      <c r="J68" s="247">
        <f t="shared" ca="1" si="18"/>
        <v>4816</v>
      </c>
      <c r="K68" s="247">
        <f t="shared" ca="1" si="18"/>
        <v>5531</v>
      </c>
      <c r="L68" s="247">
        <f t="shared" ca="1" si="18"/>
        <v>6246</v>
      </c>
      <c r="M68" s="247">
        <f t="shared" ca="1" si="18"/>
        <v>7212</v>
      </c>
      <c r="N68" s="247">
        <f t="shared" ca="1" si="18"/>
        <v>8178</v>
      </c>
      <c r="O68" s="247">
        <f t="shared" ca="1" si="18"/>
        <v>9145</v>
      </c>
      <c r="P68" s="247">
        <f t="shared" ca="1" si="18"/>
        <v>10362</v>
      </c>
      <c r="Q68" s="247">
        <f t="shared" ca="1" si="18"/>
        <v>11580</v>
      </c>
      <c r="R68" s="247">
        <f>+F68</f>
        <v>2630</v>
      </c>
    </row>
    <row r="69" spans="1:18" ht="14.1" customHeight="1" x14ac:dyDescent="0.2">
      <c r="A69" s="243" t="s">
        <v>82</v>
      </c>
      <c r="B69" s="244"/>
      <c r="C69" s="245"/>
      <c r="D69" s="246"/>
      <c r="E69" s="246">
        <v>3247</v>
      </c>
      <c r="F69" s="247">
        <f>+F68+F65</f>
        <v>3176</v>
      </c>
      <c r="G69" s="247">
        <f>+G68+G65</f>
        <v>3639</v>
      </c>
      <c r="H69" s="247">
        <f t="shared" ref="H69:Q69" si="19">+H68+H65</f>
        <v>4102</v>
      </c>
      <c r="I69" s="247">
        <f t="shared" ca="1" si="19"/>
        <v>4816</v>
      </c>
      <c r="J69" s="247">
        <f t="shared" ca="1" si="19"/>
        <v>5531</v>
      </c>
      <c r="K69" s="247">
        <f t="shared" ca="1" si="19"/>
        <v>6246</v>
      </c>
      <c r="L69" s="247">
        <f t="shared" ca="1" si="19"/>
        <v>7212</v>
      </c>
      <c r="M69" s="247">
        <f t="shared" ca="1" si="19"/>
        <v>8178</v>
      </c>
      <c r="N69" s="247">
        <f t="shared" ca="1" si="19"/>
        <v>9145</v>
      </c>
      <c r="O69" s="247">
        <f t="shared" ca="1" si="19"/>
        <v>10362</v>
      </c>
      <c r="P69" s="247">
        <f t="shared" ca="1" si="19"/>
        <v>11580</v>
      </c>
      <c r="Q69" s="247">
        <f t="shared" ca="1" si="19"/>
        <v>10867</v>
      </c>
      <c r="R69" s="247">
        <f ca="1">+R68+R65</f>
        <v>10867</v>
      </c>
    </row>
  </sheetData>
  <mergeCells count="1">
    <mergeCell ref="D2:E2"/>
  </mergeCells>
  <phoneticPr fontId="7" type="noConversion"/>
  <pageMargins left="0.75" right="0.75" top="0.38" bottom="0.49" header="0.5" footer="0.5"/>
  <pageSetup paperSize="9" scale="7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35"/>
  <sheetViews>
    <sheetView showGridLines="0" topLeftCell="A10" workbookViewId="0">
      <selection activeCell="H24" sqref="H24"/>
    </sheetView>
  </sheetViews>
  <sheetFormatPr defaultRowHeight="14.1" customHeight="1" x14ac:dyDescent="0.2"/>
  <cols>
    <col min="1" max="1" width="29.85546875" customWidth="1"/>
    <col min="2" max="3" width="12" customWidth="1"/>
    <col min="4" max="4" width="11.42578125" customWidth="1"/>
    <col min="5" max="5" width="10.85546875" customWidth="1"/>
    <col min="6" max="6" width="10.7109375" customWidth="1"/>
    <col min="7" max="9" width="9.28515625" bestFit="1" customWidth="1"/>
    <col min="10" max="13" width="10.140625" bestFit="1" customWidth="1"/>
    <col min="14" max="14" width="10.140625" customWidth="1"/>
  </cols>
  <sheetData>
    <row r="1" spans="1:14" s="3" customFormat="1" ht="24" customHeight="1" x14ac:dyDescent="0.25">
      <c r="A1" s="3" t="str">
        <f>CONCATENATE(Cover!C3," ","Balance Sheet Forecast")</f>
        <v>Novelty PCs Ltd Balance Sheet Forecast</v>
      </c>
      <c r="H1" s="156"/>
      <c r="I1" s="131"/>
      <c r="J1" s="156"/>
    </row>
    <row r="2" spans="1:14" ht="14.1" customHeight="1" thickBot="1" x14ac:dyDescent="0.25">
      <c r="A2" t="s">
        <v>171</v>
      </c>
    </row>
    <row r="3" spans="1:14" ht="14.1" customHeight="1" thickTop="1" x14ac:dyDescent="0.2">
      <c r="A3" s="10"/>
      <c r="B3" s="11">
        <f>+'P&amp;L Detl'!E3</f>
        <v>45277</v>
      </c>
      <c r="C3" s="11">
        <f>+'P&amp;L Detl'!F3</f>
        <v>45307</v>
      </c>
      <c r="D3" s="11">
        <f>+'P&amp;L Detl'!G3</f>
        <v>45337</v>
      </c>
      <c r="E3" s="11">
        <f>+'P&amp;L Detl'!H3</f>
        <v>45367</v>
      </c>
      <c r="F3" s="11">
        <f>+'P&amp;L Detl'!I3</f>
        <v>45397</v>
      </c>
      <c r="G3" s="11">
        <f>+'P&amp;L Detl'!J3</f>
        <v>45427</v>
      </c>
      <c r="H3" s="11">
        <f>+'P&amp;L Detl'!K3</f>
        <v>45457</v>
      </c>
      <c r="I3" s="11">
        <f>+'P&amp;L Detl'!L3</f>
        <v>45487</v>
      </c>
      <c r="J3" s="11">
        <f>+'P&amp;L Detl'!M3</f>
        <v>45517</v>
      </c>
      <c r="K3" s="11">
        <f>+'P&amp;L Detl'!N3</f>
        <v>45547</v>
      </c>
      <c r="L3" s="11">
        <f>+'P&amp;L Detl'!O3</f>
        <v>45577</v>
      </c>
      <c r="M3" s="11">
        <f>+'P&amp;L Detl'!P3</f>
        <v>45607</v>
      </c>
      <c r="N3" s="183">
        <f>+'P&amp;L Detl'!Q3</f>
        <v>45637</v>
      </c>
    </row>
    <row r="4" spans="1:14" ht="2.25" customHeight="1" x14ac:dyDescent="0.2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84"/>
    </row>
    <row r="5" spans="1:14" ht="14.1" customHeight="1" x14ac:dyDescent="0.2">
      <c r="A5" s="96" t="s">
        <v>4</v>
      </c>
      <c r="B5" s="155">
        <v>555</v>
      </c>
      <c r="C5" s="98">
        <f>+MthlyCapex!C15</f>
        <v>555</v>
      </c>
      <c r="D5" s="98">
        <f>+MthlyCapex!D15</f>
        <v>5555</v>
      </c>
      <c r="E5" s="98">
        <f>+MthlyCapex!E15</f>
        <v>5555</v>
      </c>
      <c r="F5" s="98">
        <f>+MthlyCapex!F15</f>
        <v>5555</v>
      </c>
      <c r="G5" s="98">
        <f>+MthlyCapex!G15</f>
        <v>5555</v>
      </c>
      <c r="H5" s="98">
        <f>+MthlyCapex!H15</f>
        <v>5555</v>
      </c>
      <c r="I5" s="98">
        <f>+MthlyCapex!I15</f>
        <v>5555</v>
      </c>
      <c r="J5" s="98">
        <f>+MthlyCapex!J15</f>
        <v>5555</v>
      </c>
      <c r="K5" s="98">
        <f>+MthlyCapex!K15</f>
        <v>5555</v>
      </c>
      <c r="L5" s="98">
        <f>+MthlyCapex!L15</f>
        <v>5555</v>
      </c>
      <c r="M5" s="98">
        <f>+MthlyCapex!M15</f>
        <v>5555</v>
      </c>
      <c r="N5" s="187">
        <f>+MthlyCapex!N15</f>
        <v>5555</v>
      </c>
    </row>
    <row r="6" spans="1:14" ht="14.1" customHeight="1" thickBot="1" x14ac:dyDescent="0.25">
      <c r="A6" s="96" t="s">
        <v>2</v>
      </c>
      <c r="B6" s="155">
        <v>37</v>
      </c>
      <c r="C6" s="98">
        <f>+MthlyCapex!C29</f>
        <v>46</v>
      </c>
      <c r="D6" s="98">
        <f>+MthlyCapex!D29</f>
        <v>118</v>
      </c>
      <c r="E6" s="98">
        <f>+MthlyCapex!E29</f>
        <v>190</v>
      </c>
      <c r="F6" s="98">
        <f>+MthlyCapex!F29</f>
        <v>262</v>
      </c>
      <c r="G6" s="98">
        <f>+MthlyCapex!G29</f>
        <v>334</v>
      </c>
      <c r="H6" s="98">
        <f>+MthlyCapex!H29</f>
        <v>406</v>
      </c>
      <c r="I6" s="98">
        <f>+MthlyCapex!I29</f>
        <v>478</v>
      </c>
      <c r="J6" s="98">
        <f>+MthlyCapex!J29</f>
        <v>550</v>
      </c>
      <c r="K6" s="98">
        <f>+MthlyCapex!K29</f>
        <v>622</v>
      </c>
      <c r="L6" s="98">
        <f>+MthlyCapex!L29</f>
        <v>694</v>
      </c>
      <c r="M6" s="98">
        <f>+MthlyCapex!M29</f>
        <v>766</v>
      </c>
      <c r="N6" s="187">
        <f>+MthlyCapex!N29</f>
        <v>838</v>
      </c>
    </row>
    <row r="7" spans="1:14" s="1" customFormat="1" ht="14.1" customHeight="1" thickBot="1" x14ac:dyDescent="0.25">
      <c r="A7" s="38" t="s">
        <v>118</v>
      </c>
      <c r="B7" s="39">
        <f>+B5-B6</f>
        <v>518</v>
      </c>
      <c r="C7" s="39">
        <f>+C5-C6</f>
        <v>509</v>
      </c>
      <c r="D7" s="39">
        <f>+D5-D6</f>
        <v>5437</v>
      </c>
      <c r="E7" s="39">
        <f>+E5-E6</f>
        <v>5365</v>
      </c>
      <c r="F7" s="39">
        <f t="shared" ref="F7:M7" si="0">+F5-F6</f>
        <v>5293</v>
      </c>
      <c r="G7" s="39">
        <f t="shared" si="0"/>
        <v>5221</v>
      </c>
      <c r="H7" s="39">
        <f t="shared" si="0"/>
        <v>5149</v>
      </c>
      <c r="I7" s="39">
        <f t="shared" si="0"/>
        <v>5077</v>
      </c>
      <c r="J7" s="39">
        <f t="shared" si="0"/>
        <v>5005</v>
      </c>
      <c r="K7" s="39">
        <f t="shared" si="0"/>
        <v>4933</v>
      </c>
      <c r="L7" s="39">
        <f t="shared" si="0"/>
        <v>4861</v>
      </c>
      <c r="M7" s="39">
        <f t="shared" si="0"/>
        <v>4789</v>
      </c>
      <c r="N7" s="40">
        <f>+N5-N6</f>
        <v>4717</v>
      </c>
    </row>
    <row r="8" spans="1:14" ht="3" customHeight="1" x14ac:dyDescent="0.2">
      <c r="A8" s="13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84"/>
    </row>
    <row r="9" spans="1:14" s="78" customFormat="1" ht="14.1" customHeight="1" x14ac:dyDescent="0.2">
      <c r="A9" s="128" t="s">
        <v>5</v>
      </c>
      <c r="B9" s="121">
        <v>484</v>
      </c>
      <c r="C9" s="126">
        <f>Controls!C7</f>
        <v>494</v>
      </c>
      <c r="D9" s="126">
        <f>Controls!D7</f>
        <v>494</v>
      </c>
      <c r="E9" s="126">
        <f>Controls!E7</f>
        <v>494</v>
      </c>
      <c r="F9" s="126">
        <f>Controls!F7</f>
        <v>504</v>
      </c>
      <c r="G9" s="126">
        <f>Controls!G7</f>
        <v>504</v>
      </c>
      <c r="H9" s="126">
        <f>Controls!H7</f>
        <v>504</v>
      </c>
      <c r="I9" s="126">
        <f>Controls!I7</f>
        <v>514</v>
      </c>
      <c r="J9" s="126">
        <f>Controls!J7</f>
        <v>514</v>
      </c>
      <c r="K9" s="126">
        <f>Controls!K7</f>
        <v>514</v>
      </c>
      <c r="L9" s="126">
        <f>Controls!L7</f>
        <v>524</v>
      </c>
      <c r="M9" s="126">
        <f>Controls!M7</f>
        <v>524</v>
      </c>
      <c r="N9" s="186">
        <f>Controls!N7</f>
        <v>524</v>
      </c>
    </row>
    <row r="10" spans="1:14" ht="14.1" customHeight="1" x14ac:dyDescent="0.2">
      <c r="A10" s="96" t="s">
        <v>6</v>
      </c>
      <c r="B10" s="120">
        <v>160</v>
      </c>
      <c r="C10" s="97">
        <f>+Controls!C21</f>
        <v>3600</v>
      </c>
      <c r="D10" s="97">
        <f ca="1">+Controls!D21</f>
        <v>2400</v>
      </c>
      <c r="E10" s="97">
        <f ca="1">+Controls!E21</f>
        <v>2400</v>
      </c>
      <c r="F10" s="97">
        <f ca="1">+Controls!F21</f>
        <v>2820</v>
      </c>
      <c r="G10" s="97">
        <f ca="1">+Controls!G21</f>
        <v>2880</v>
      </c>
      <c r="H10" s="97">
        <f ca="1">+Controls!H21</f>
        <v>2880</v>
      </c>
      <c r="I10" s="97">
        <f ca="1">+Controls!I21</f>
        <v>3300</v>
      </c>
      <c r="J10" s="97">
        <f ca="1">+Controls!J21</f>
        <v>3360</v>
      </c>
      <c r="K10" s="97">
        <f ca="1">+Controls!K21</f>
        <v>3360</v>
      </c>
      <c r="L10" s="97">
        <f ca="1">+Controls!L21</f>
        <v>3780</v>
      </c>
      <c r="M10" s="97">
        <f ca="1">+Controls!M21</f>
        <v>3840</v>
      </c>
      <c r="N10" s="185">
        <f ca="1">+Controls!N21</f>
        <v>3840</v>
      </c>
    </row>
    <row r="11" spans="1:14" ht="14.1" customHeight="1" thickBot="1" x14ac:dyDescent="0.25">
      <c r="A11" s="96" t="s">
        <v>7</v>
      </c>
      <c r="B11" s="120">
        <v>4166</v>
      </c>
      <c r="C11" s="98">
        <f>+B11+Cashflow!B29</f>
        <v>2940</v>
      </c>
      <c r="D11" s="98">
        <f>+C11+Cashflow!C29</f>
        <v>1172</v>
      </c>
      <c r="E11" s="98">
        <f ca="1">+D11+Cashflow!D29</f>
        <v>1875</v>
      </c>
      <c r="F11" s="98">
        <f ca="1">+E11+Cashflow!E29</f>
        <v>2736</v>
      </c>
      <c r="G11" s="98">
        <f ca="1">+F11+Cashflow!F29</f>
        <v>4085</v>
      </c>
      <c r="H11" s="98">
        <f ca="1">+G11+Cashflow!G29</f>
        <v>5093</v>
      </c>
      <c r="I11" s="98">
        <f ca="1">+H11+Cashflow!H29</f>
        <v>6261</v>
      </c>
      <c r="J11" s="98">
        <f ca="1">+I11+Cashflow!I29</f>
        <v>6749</v>
      </c>
      <c r="K11" s="98">
        <f ca="1">+J11+Cashflow!J29</f>
        <v>7544</v>
      </c>
      <c r="L11" s="98">
        <f ca="1">+K11+Cashflow!K29</f>
        <v>9015</v>
      </c>
      <c r="M11" s="98">
        <f ca="1">+L11+Cashflow!L29</f>
        <v>9644</v>
      </c>
      <c r="N11" s="187">
        <f ca="1">+M11+Cashflow!M29</f>
        <v>11263</v>
      </c>
    </row>
    <row r="12" spans="1:14" s="1" customFormat="1" ht="14.1" customHeight="1" thickBot="1" x14ac:dyDescent="0.25">
      <c r="A12" s="38" t="s">
        <v>119</v>
      </c>
      <c r="B12" s="39">
        <f>SUM(B9:B11)</f>
        <v>4810</v>
      </c>
      <c r="C12" s="86">
        <f>SUM(C9:C11)</f>
        <v>7034</v>
      </c>
      <c r="D12" s="39">
        <f ca="1">SUM(D9:D11)</f>
        <v>4066</v>
      </c>
      <c r="E12" s="39">
        <f ca="1">SUM(E9:E11)</f>
        <v>4769</v>
      </c>
      <c r="F12" s="39">
        <f t="shared" ref="F12:M12" ca="1" si="1">SUM(F9:F11)</f>
        <v>6060</v>
      </c>
      <c r="G12" s="39">
        <f t="shared" ca="1" si="1"/>
        <v>7469</v>
      </c>
      <c r="H12" s="39">
        <f t="shared" ca="1" si="1"/>
        <v>8477</v>
      </c>
      <c r="I12" s="39">
        <f t="shared" ca="1" si="1"/>
        <v>10075</v>
      </c>
      <c r="J12" s="39">
        <f t="shared" ca="1" si="1"/>
        <v>10623</v>
      </c>
      <c r="K12" s="39">
        <f t="shared" ca="1" si="1"/>
        <v>11418</v>
      </c>
      <c r="L12" s="39">
        <f t="shared" ca="1" si="1"/>
        <v>13319</v>
      </c>
      <c r="M12" s="39">
        <f t="shared" ca="1" si="1"/>
        <v>14008</v>
      </c>
      <c r="N12" s="40">
        <f ca="1">SUM(N9:N11)</f>
        <v>15627</v>
      </c>
    </row>
    <row r="13" spans="1:14" ht="3.75" customHeight="1" x14ac:dyDescent="0.2">
      <c r="A13" s="13"/>
      <c r="B13" s="14"/>
      <c r="C13" s="88"/>
      <c r="D13" s="4"/>
      <c r="E13" s="14"/>
      <c r="F13" s="14"/>
      <c r="G13" s="14"/>
      <c r="H13" s="14"/>
      <c r="I13" s="14"/>
      <c r="J13" s="14"/>
      <c r="K13" s="14"/>
      <c r="L13" s="14"/>
      <c r="M13" s="14"/>
      <c r="N13" s="184"/>
    </row>
    <row r="14" spans="1:14" ht="12.75" x14ac:dyDescent="0.2">
      <c r="A14" s="96" t="s">
        <v>192</v>
      </c>
      <c r="B14" s="120">
        <f>763+20+66</f>
        <v>849</v>
      </c>
      <c r="C14" s="97">
        <f>+Controls!C37</f>
        <v>2232</v>
      </c>
      <c r="D14" s="99">
        <f ca="1">+Controls!D37</f>
        <v>1752</v>
      </c>
      <c r="E14" s="97">
        <f ca="1">+Controls!E37</f>
        <v>1742</v>
      </c>
      <c r="F14" s="97">
        <f ca="1">+Controls!F37</f>
        <v>2010</v>
      </c>
      <c r="G14" s="97">
        <f ca="1">+Controls!G37</f>
        <v>2238</v>
      </c>
      <c r="H14" s="97">
        <f ca="1">+Controls!H37</f>
        <v>2228</v>
      </c>
      <c r="I14" s="97">
        <f ca="1">+Controls!I37</f>
        <v>2496</v>
      </c>
      <c r="J14" s="97">
        <f ca="1">+Controls!J37</f>
        <v>2724</v>
      </c>
      <c r="K14" s="97">
        <f ca="1">+Controls!K37</f>
        <v>2714</v>
      </c>
      <c r="L14" s="97">
        <f ca="1">+Controls!L37</f>
        <v>2982</v>
      </c>
      <c r="M14" s="97">
        <f ca="1">+Controls!M37</f>
        <v>3210</v>
      </c>
      <c r="N14" s="185">
        <f ca="1">+Controls!N37</f>
        <v>3200</v>
      </c>
    </row>
    <row r="15" spans="1:14" ht="12.75" x14ac:dyDescent="0.2">
      <c r="A15" s="96" t="s">
        <v>8</v>
      </c>
      <c r="B15" s="120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187"/>
    </row>
    <row r="16" spans="1:14" ht="12.75" x14ac:dyDescent="0.2">
      <c r="A16" s="96" t="s">
        <v>1</v>
      </c>
      <c r="B16" s="120">
        <f>20+519</f>
        <v>539</v>
      </c>
      <c r="C16" s="98">
        <f>+Controls!C61</f>
        <v>547</v>
      </c>
      <c r="D16" s="98">
        <f>+Controls!D61</f>
        <v>547</v>
      </c>
      <c r="E16" s="98">
        <f>+Controls!E61</f>
        <v>547</v>
      </c>
      <c r="F16" s="98">
        <f>+Controls!F61</f>
        <v>554</v>
      </c>
      <c r="G16" s="98">
        <f>+Controls!G61</f>
        <v>554</v>
      </c>
      <c r="H16" s="98">
        <f>+Controls!H61</f>
        <v>554</v>
      </c>
      <c r="I16" s="98">
        <f>+Controls!I61</f>
        <v>562</v>
      </c>
      <c r="J16" s="98">
        <f>+Controls!J61</f>
        <v>562</v>
      </c>
      <c r="K16" s="98">
        <f>+Controls!K61</f>
        <v>43</v>
      </c>
      <c r="L16" s="98">
        <f>+Controls!L61</f>
        <v>50</v>
      </c>
      <c r="M16" s="98">
        <f>+Controls!M61</f>
        <v>50</v>
      </c>
      <c r="N16" s="187">
        <f>+Controls!N61</f>
        <v>1782</v>
      </c>
    </row>
    <row r="17" spans="1:14" ht="12.75" x14ac:dyDescent="0.2">
      <c r="A17" s="96" t="s">
        <v>120</v>
      </c>
      <c r="B17" s="120">
        <v>212</v>
      </c>
      <c r="C17" s="98">
        <f>+Controls!C50</f>
        <v>490</v>
      </c>
      <c r="D17" s="100">
        <f ca="1">+Controls!D50</f>
        <v>-442</v>
      </c>
      <c r="E17" s="98">
        <f ca="1">+Controls!E50</f>
        <v>-162</v>
      </c>
      <c r="F17" s="98">
        <f ca="1">+Controls!F50</f>
        <v>171</v>
      </c>
      <c r="G17" s="98">
        <f ca="1">+Controls!G50</f>
        <v>668</v>
      </c>
      <c r="H17" s="98">
        <f ca="1">+Controls!H50</f>
        <v>1003</v>
      </c>
      <c r="I17" s="98">
        <f ca="1">+Controls!I50</f>
        <v>1391</v>
      </c>
      <c r="J17" s="98">
        <f ca="1">+Controls!J50</f>
        <v>778</v>
      </c>
      <c r="K17" s="98">
        <f ca="1">+Controls!K50</f>
        <v>1168</v>
      </c>
      <c r="L17" s="98">
        <f ca="1">+Controls!L50</f>
        <v>1611</v>
      </c>
      <c r="M17" s="98">
        <f ca="1">+Controls!M50</f>
        <v>888</v>
      </c>
      <c r="N17" s="187">
        <f ca="1">+Controls!N50</f>
        <v>1333</v>
      </c>
    </row>
    <row r="18" spans="1:14" ht="13.5" thickBot="1" x14ac:dyDescent="0.25">
      <c r="A18" s="96" t="s">
        <v>0</v>
      </c>
      <c r="B18" s="120">
        <v>990</v>
      </c>
      <c r="C18" s="127">
        <f>Controls!C70</f>
        <v>990</v>
      </c>
      <c r="D18" s="127">
        <f>Controls!D70</f>
        <v>0</v>
      </c>
      <c r="E18" s="127">
        <f>Controls!E70</f>
        <v>0</v>
      </c>
      <c r="F18" s="127">
        <f>Controls!F70</f>
        <v>0</v>
      </c>
      <c r="G18" s="127">
        <f>Controls!G70</f>
        <v>0</v>
      </c>
      <c r="H18" s="127">
        <f>Controls!H70</f>
        <v>0</v>
      </c>
      <c r="I18" s="127">
        <f>Controls!I70</f>
        <v>0</v>
      </c>
      <c r="J18" s="127">
        <f>Controls!J70</f>
        <v>0</v>
      </c>
      <c r="K18" s="127">
        <f>Controls!K70</f>
        <v>0</v>
      </c>
      <c r="L18" s="127">
        <f>Controls!L70</f>
        <v>0</v>
      </c>
      <c r="M18" s="127">
        <f>Controls!M70</f>
        <v>0</v>
      </c>
      <c r="N18" s="188">
        <f>Controls!N70</f>
        <v>1932</v>
      </c>
    </row>
    <row r="19" spans="1:14" s="1" customFormat="1" ht="14.1" customHeight="1" thickBot="1" x14ac:dyDescent="0.25">
      <c r="A19" s="38" t="s">
        <v>121</v>
      </c>
      <c r="B19" s="39">
        <f t="shared" ref="B19:N19" si="2">SUM(B14:B18)</f>
        <v>2590</v>
      </c>
      <c r="C19" s="87">
        <f t="shared" si="2"/>
        <v>4259</v>
      </c>
      <c r="D19" s="39">
        <f t="shared" ca="1" si="2"/>
        <v>1857</v>
      </c>
      <c r="E19" s="39">
        <f t="shared" ca="1" si="2"/>
        <v>2127</v>
      </c>
      <c r="F19" s="39">
        <f t="shared" ca="1" si="2"/>
        <v>2735</v>
      </c>
      <c r="G19" s="39">
        <f t="shared" ca="1" si="2"/>
        <v>3460</v>
      </c>
      <c r="H19" s="39">
        <f t="shared" ca="1" si="2"/>
        <v>3785</v>
      </c>
      <c r="I19" s="39">
        <f t="shared" ca="1" si="2"/>
        <v>4449</v>
      </c>
      <c r="J19" s="39">
        <f t="shared" ca="1" si="2"/>
        <v>4064</v>
      </c>
      <c r="K19" s="39">
        <f t="shared" ca="1" si="2"/>
        <v>3925</v>
      </c>
      <c r="L19" s="39">
        <f t="shared" ca="1" si="2"/>
        <v>4643</v>
      </c>
      <c r="M19" s="39">
        <f t="shared" ca="1" si="2"/>
        <v>4148</v>
      </c>
      <c r="N19" s="40">
        <f t="shared" ca="1" si="2"/>
        <v>8247</v>
      </c>
    </row>
    <row r="20" spans="1:14" ht="13.5" thickBot="1" x14ac:dyDescent="0.25">
      <c r="A20" s="13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84"/>
    </row>
    <row r="21" spans="1:14" s="1" customFormat="1" ht="14.1" customHeight="1" thickBot="1" x14ac:dyDescent="0.25">
      <c r="A21" s="38" t="s">
        <v>197</v>
      </c>
      <c r="B21" s="39">
        <f t="shared" ref="B21:N21" si="3">+B7+B12-B19</f>
        <v>2738</v>
      </c>
      <c r="C21" s="39">
        <f t="shared" si="3"/>
        <v>3284</v>
      </c>
      <c r="D21" s="39">
        <f t="shared" ca="1" si="3"/>
        <v>7646</v>
      </c>
      <c r="E21" s="39">
        <f t="shared" ca="1" si="3"/>
        <v>8007</v>
      </c>
      <c r="F21" s="39">
        <f t="shared" ca="1" si="3"/>
        <v>8618</v>
      </c>
      <c r="G21" s="39">
        <f t="shared" ca="1" si="3"/>
        <v>9230</v>
      </c>
      <c r="H21" s="39">
        <f t="shared" ca="1" si="3"/>
        <v>9841</v>
      </c>
      <c r="I21" s="39">
        <f t="shared" ca="1" si="3"/>
        <v>10703</v>
      </c>
      <c r="J21" s="39">
        <f t="shared" ca="1" si="3"/>
        <v>11564</v>
      </c>
      <c r="K21" s="39">
        <f t="shared" ca="1" si="3"/>
        <v>12426</v>
      </c>
      <c r="L21" s="39">
        <f t="shared" ca="1" si="3"/>
        <v>13537</v>
      </c>
      <c r="M21" s="39">
        <f t="shared" ca="1" si="3"/>
        <v>14649</v>
      </c>
      <c r="N21" s="40">
        <f t="shared" ca="1" si="3"/>
        <v>12097</v>
      </c>
    </row>
    <row r="22" spans="1:14" ht="3" customHeight="1" x14ac:dyDescent="0.2">
      <c r="A22" s="13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84"/>
    </row>
    <row r="23" spans="1:14" ht="12.75" x14ac:dyDescent="0.2">
      <c r="A23" s="96" t="s">
        <v>122</v>
      </c>
      <c r="B23" s="120">
        <v>10</v>
      </c>
      <c r="C23" s="97">
        <f>+B23</f>
        <v>10</v>
      </c>
      <c r="D23" s="97">
        <f t="shared" ref="D23:N23" si="4">+C23</f>
        <v>10</v>
      </c>
      <c r="E23" s="97">
        <f t="shared" si="4"/>
        <v>10</v>
      </c>
      <c r="F23" s="97">
        <f t="shared" si="4"/>
        <v>10</v>
      </c>
      <c r="G23" s="97">
        <f t="shared" si="4"/>
        <v>10</v>
      </c>
      <c r="H23" s="97">
        <f t="shared" si="4"/>
        <v>10</v>
      </c>
      <c r="I23" s="97">
        <f t="shared" si="4"/>
        <v>10</v>
      </c>
      <c r="J23" s="97">
        <f t="shared" si="4"/>
        <v>10</v>
      </c>
      <c r="K23" s="97">
        <f t="shared" si="4"/>
        <v>10</v>
      </c>
      <c r="L23" s="97">
        <f t="shared" si="4"/>
        <v>10</v>
      </c>
      <c r="M23" s="97">
        <f t="shared" si="4"/>
        <v>10</v>
      </c>
      <c r="N23" s="185">
        <f t="shared" si="4"/>
        <v>10</v>
      </c>
    </row>
    <row r="24" spans="1:14" ht="13.5" thickBot="1" x14ac:dyDescent="0.25">
      <c r="A24" s="96" t="s">
        <v>9</v>
      </c>
      <c r="B24" s="120">
        <v>2630</v>
      </c>
      <c r="C24" s="97">
        <f>+'P&amp;L Detl'!F69</f>
        <v>3176</v>
      </c>
      <c r="D24" s="97">
        <f>+'P&amp;L Detl'!G69</f>
        <v>3639</v>
      </c>
      <c r="E24" s="97">
        <f>+'P&amp;L Detl'!H69</f>
        <v>4102</v>
      </c>
      <c r="F24" s="97">
        <f ca="1">+'P&amp;L Detl'!I69</f>
        <v>4816</v>
      </c>
      <c r="G24" s="97">
        <f ca="1">+'P&amp;L Detl'!J69</f>
        <v>5531</v>
      </c>
      <c r="H24" s="97">
        <f ca="1">+'P&amp;L Detl'!K69</f>
        <v>6246</v>
      </c>
      <c r="I24" s="97">
        <f ca="1">+'P&amp;L Detl'!L69</f>
        <v>7212</v>
      </c>
      <c r="J24" s="97">
        <f ca="1">+'P&amp;L Detl'!M69</f>
        <v>8178</v>
      </c>
      <c r="K24" s="97">
        <f ca="1">+'P&amp;L Detl'!N69</f>
        <v>9145</v>
      </c>
      <c r="L24" s="97">
        <f ca="1">+'P&amp;L Detl'!O69</f>
        <v>10362</v>
      </c>
      <c r="M24" s="97">
        <f ca="1">+'P&amp;L Detl'!P69</f>
        <v>11580</v>
      </c>
      <c r="N24" s="185">
        <f ca="1">+'P&amp;L Detl'!Q69</f>
        <v>10867</v>
      </c>
    </row>
    <row r="25" spans="1:14" s="1" customFormat="1" ht="14.1" customHeight="1" thickBot="1" x14ac:dyDescent="0.25">
      <c r="A25" s="38" t="s">
        <v>124</v>
      </c>
      <c r="B25" s="39">
        <f t="shared" ref="B25:N25" si="5">SUM(B23:B24)</f>
        <v>2640</v>
      </c>
      <c r="C25" s="39">
        <f t="shared" si="5"/>
        <v>3186</v>
      </c>
      <c r="D25" s="39">
        <f t="shared" si="5"/>
        <v>3649</v>
      </c>
      <c r="E25" s="39">
        <f t="shared" si="5"/>
        <v>4112</v>
      </c>
      <c r="F25" s="39">
        <f t="shared" ca="1" si="5"/>
        <v>4826</v>
      </c>
      <c r="G25" s="39">
        <f t="shared" ca="1" si="5"/>
        <v>5541</v>
      </c>
      <c r="H25" s="39">
        <f t="shared" ca="1" si="5"/>
        <v>6256</v>
      </c>
      <c r="I25" s="39">
        <f t="shared" ca="1" si="5"/>
        <v>7222</v>
      </c>
      <c r="J25" s="39">
        <f t="shared" ca="1" si="5"/>
        <v>8188</v>
      </c>
      <c r="K25" s="39">
        <f t="shared" ca="1" si="5"/>
        <v>9155</v>
      </c>
      <c r="L25" s="39">
        <f t="shared" ca="1" si="5"/>
        <v>10372</v>
      </c>
      <c r="M25" s="39">
        <f t="shared" ca="1" si="5"/>
        <v>11590</v>
      </c>
      <c r="N25" s="40">
        <f t="shared" ca="1" si="5"/>
        <v>10877</v>
      </c>
    </row>
    <row r="26" spans="1:14" ht="3" customHeight="1" x14ac:dyDescent="0.2">
      <c r="A26" s="13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84"/>
    </row>
    <row r="27" spans="1:14" ht="12.75" x14ac:dyDescent="0.2">
      <c r="A27" s="96" t="s">
        <v>123</v>
      </c>
      <c r="B27" s="120"/>
      <c r="C27" s="98">
        <f>MthlyHP!D37</f>
        <v>0</v>
      </c>
      <c r="D27" s="98">
        <f>MthlyHP!E37</f>
        <v>3899</v>
      </c>
      <c r="E27" s="98">
        <f>MthlyHP!F37</f>
        <v>3797</v>
      </c>
      <c r="F27" s="98">
        <f>MthlyHP!G37</f>
        <v>3694</v>
      </c>
      <c r="G27" s="98">
        <f>MthlyHP!H37</f>
        <v>3591</v>
      </c>
      <c r="H27" s="98">
        <f>MthlyHP!I37</f>
        <v>3487</v>
      </c>
      <c r="I27" s="98">
        <f>MthlyHP!J37</f>
        <v>3383</v>
      </c>
      <c r="J27" s="98">
        <f>MthlyHP!K37</f>
        <v>3278</v>
      </c>
      <c r="K27" s="98">
        <f>MthlyHP!L37</f>
        <v>3173</v>
      </c>
      <c r="L27" s="98">
        <f>MthlyHP!M37</f>
        <v>3067</v>
      </c>
      <c r="M27" s="98">
        <f>MthlyHP!N37</f>
        <v>2961</v>
      </c>
      <c r="N27" s="187">
        <f>MthlyHP!O37</f>
        <v>2854</v>
      </c>
    </row>
    <row r="28" spans="1:14" ht="12.75" x14ac:dyDescent="0.2">
      <c r="A28" s="96" t="s">
        <v>181</v>
      </c>
      <c r="B28" s="120"/>
      <c r="C28" s="98">
        <f>+Loans!D13</f>
        <v>0</v>
      </c>
      <c r="D28" s="98">
        <f>+Loans!E13</f>
        <v>0</v>
      </c>
      <c r="E28" s="98">
        <f>+Loans!F13</f>
        <v>0</v>
      </c>
      <c r="F28" s="98">
        <f>+Loans!G13</f>
        <v>0</v>
      </c>
      <c r="G28" s="98">
        <f>+Loans!H13</f>
        <v>0</v>
      </c>
      <c r="H28" s="98">
        <f>+Loans!I13</f>
        <v>0</v>
      </c>
      <c r="I28" s="98">
        <f>+Loans!J13</f>
        <v>0</v>
      </c>
      <c r="J28" s="98">
        <f>+Loans!K13</f>
        <v>0</v>
      </c>
      <c r="K28" s="98">
        <f>+Loans!L13</f>
        <v>0</v>
      </c>
      <c r="L28" s="98">
        <f>+Loans!M13</f>
        <v>0</v>
      </c>
      <c r="M28" s="98">
        <f>+Loans!N13</f>
        <v>0</v>
      </c>
      <c r="N28" s="187">
        <f>+Loans!O13</f>
        <v>0</v>
      </c>
    </row>
    <row r="29" spans="1:14" ht="12.75" x14ac:dyDescent="0.2">
      <c r="A29" s="128" t="s">
        <v>217</v>
      </c>
      <c r="B29" s="120"/>
      <c r="C29" s="98">
        <f>+Loans!D36</f>
        <v>0</v>
      </c>
      <c r="D29" s="98">
        <f>+Loans!E36</f>
        <v>0</v>
      </c>
      <c r="E29" s="98">
        <f>+Loans!F36</f>
        <v>0</v>
      </c>
      <c r="F29" s="98">
        <f>+Loans!G36</f>
        <v>0</v>
      </c>
      <c r="G29" s="98">
        <f>+Loans!H36</f>
        <v>0</v>
      </c>
      <c r="H29" s="98">
        <f>+Loans!I36</f>
        <v>0</v>
      </c>
      <c r="I29" s="98">
        <f>+Loans!J36</f>
        <v>0</v>
      </c>
      <c r="J29" s="98">
        <f>+Loans!K36</f>
        <v>0</v>
      </c>
      <c r="K29" s="98">
        <f>+Loans!L36</f>
        <v>0</v>
      </c>
      <c r="L29" s="98">
        <f>+Loans!M36</f>
        <v>0</v>
      </c>
      <c r="M29" s="98">
        <f>+Loans!N36</f>
        <v>0</v>
      </c>
      <c r="N29" s="187">
        <f>+Loans!O36</f>
        <v>0</v>
      </c>
    </row>
    <row r="30" spans="1:14" ht="14.1" customHeight="1" thickBot="1" x14ac:dyDescent="0.25">
      <c r="A30" s="96" t="s">
        <v>126</v>
      </c>
      <c r="B30" s="120">
        <v>98</v>
      </c>
      <c r="C30" s="98">
        <f>Controls!C63</f>
        <v>98</v>
      </c>
      <c r="D30" s="98">
        <f>Controls!D63</f>
        <v>98</v>
      </c>
      <c r="E30" s="98">
        <f>Controls!E63</f>
        <v>98</v>
      </c>
      <c r="F30" s="98">
        <f>Controls!F63</f>
        <v>98</v>
      </c>
      <c r="G30" s="98">
        <f>Controls!G63</f>
        <v>98</v>
      </c>
      <c r="H30" s="98">
        <f>Controls!H63</f>
        <v>98</v>
      </c>
      <c r="I30" s="98">
        <f>Controls!I63</f>
        <v>98</v>
      </c>
      <c r="J30" s="98">
        <f>Controls!J63</f>
        <v>98</v>
      </c>
      <c r="K30" s="98">
        <f>Controls!K63</f>
        <v>98</v>
      </c>
      <c r="L30" s="98">
        <f>Controls!L63</f>
        <v>98</v>
      </c>
      <c r="M30" s="98">
        <f>Controls!M63</f>
        <v>98</v>
      </c>
      <c r="N30" s="187">
        <f>Controls!N63</f>
        <v>98</v>
      </c>
    </row>
    <row r="31" spans="1:14" s="1" customFormat="1" ht="14.1" customHeight="1" thickBot="1" x14ac:dyDescent="0.25">
      <c r="A31" s="38" t="s">
        <v>125</v>
      </c>
      <c r="B31" s="39">
        <f t="shared" ref="B31:N31" si="6">SUM(B27:B30)</f>
        <v>98</v>
      </c>
      <c r="C31" s="39">
        <f t="shared" si="6"/>
        <v>98</v>
      </c>
      <c r="D31" s="39">
        <f t="shared" si="6"/>
        <v>3997</v>
      </c>
      <c r="E31" s="39">
        <f t="shared" si="6"/>
        <v>3895</v>
      </c>
      <c r="F31" s="39">
        <f t="shared" si="6"/>
        <v>3792</v>
      </c>
      <c r="G31" s="39">
        <f t="shared" si="6"/>
        <v>3689</v>
      </c>
      <c r="H31" s="39">
        <f t="shared" si="6"/>
        <v>3585</v>
      </c>
      <c r="I31" s="39">
        <f t="shared" si="6"/>
        <v>3481</v>
      </c>
      <c r="J31" s="39">
        <f t="shared" si="6"/>
        <v>3376</v>
      </c>
      <c r="K31" s="39">
        <f t="shared" si="6"/>
        <v>3271</v>
      </c>
      <c r="L31" s="39">
        <f t="shared" si="6"/>
        <v>3165</v>
      </c>
      <c r="M31" s="39">
        <f t="shared" si="6"/>
        <v>3059</v>
      </c>
      <c r="N31" s="40">
        <f t="shared" si="6"/>
        <v>2952</v>
      </c>
    </row>
    <row r="32" spans="1:14" s="1" customFormat="1" ht="14.1" customHeight="1" thickBot="1" x14ac:dyDescent="0.25">
      <c r="A32" s="20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16"/>
    </row>
    <row r="33" spans="1:14" s="1" customFormat="1" ht="14.1" customHeight="1" thickBot="1" x14ac:dyDescent="0.25">
      <c r="A33" s="38" t="s">
        <v>197</v>
      </c>
      <c r="B33" s="39">
        <f>+B25+B31</f>
        <v>2738</v>
      </c>
      <c r="C33" s="39">
        <f>+C25+C31</f>
        <v>3284</v>
      </c>
      <c r="D33" s="39">
        <f>+D25+D31</f>
        <v>7646</v>
      </c>
      <c r="E33" s="39">
        <f>+E25+E31</f>
        <v>8007</v>
      </c>
      <c r="F33" s="39">
        <f t="shared" ref="F33:M33" ca="1" si="7">+F25+F31</f>
        <v>8618</v>
      </c>
      <c r="G33" s="39">
        <f t="shared" ca="1" si="7"/>
        <v>9230</v>
      </c>
      <c r="H33" s="39">
        <f t="shared" ca="1" si="7"/>
        <v>9841</v>
      </c>
      <c r="I33" s="39">
        <f t="shared" ca="1" si="7"/>
        <v>10703</v>
      </c>
      <c r="J33" s="39">
        <f t="shared" ca="1" si="7"/>
        <v>11564</v>
      </c>
      <c r="K33" s="39">
        <f t="shared" ca="1" si="7"/>
        <v>12426</v>
      </c>
      <c r="L33" s="39">
        <f t="shared" ca="1" si="7"/>
        <v>13537</v>
      </c>
      <c r="M33" s="39">
        <f t="shared" ca="1" si="7"/>
        <v>14649</v>
      </c>
      <c r="N33" s="40">
        <f ca="1">+N25+N31</f>
        <v>13829</v>
      </c>
    </row>
    <row r="34" spans="1:14" s="89" customFormat="1" ht="14.1" customHeight="1" thickBot="1" x14ac:dyDescent="0.2">
      <c r="A34" s="289" t="s">
        <v>232</v>
      </c>
      <c r="B34" s="125">
        <f t="shared" ref="B34:N34" si="8">+B21-B33</f>
        <v>0</v>
      </c>
      <c r="C34" s="125">
        <f t="shared" si="8"/>
        <v>0</v>
      </c>
      <c r="D34" s="125">
        <f t="shared" ca="1" si="8"/>
        <v>0</v>
      </c>
      <c r="E34" s="125">
        <f t="shared" ca="1" si="8"/>
        <v>0</v>
      </c>
      <c r="F34" s="125">
        <f t="shared" ca="1" si="8"/>
        <v>0</v>
      </c>
      <c r="G34" s="125">
        <f t="shared" ca="1" si="8"/>
        <v>0</v>
      </c>
      <c r="H34" s="125">
        <f t="shared" ca="1" si="8"/>
        <v>0</v>
      </c>
      <c r="I34" s="125">
        <f t="shared" ca="1" si="8"/>
        <v>0</v>
      </c>
      <c r="J34" s="125">
        <f t="shared" ca="1" si="8"/>
        <v>0</v>
      </c>
      <c r="K34" s="125">
        <f t="shared" ca="1" si="8"/>
        <v>0</v>
      </c>
      <c r="L34" s="125">
        <f t="shared" ca="1" si="8"/>
        <v>0</v>
      </c>
      <c r="M34" s="125">
        <f t="shared" ca="1" si="8"/>
        <v>0</v>
      </c>
      <c r="N34" s="189">
        <f t="shared" ca="1" si="8"/>
        <v>-1732</v>
      </c>
    </row>
    <row r="35" spans="1:14" ht="14.1" customHeight="1" thickTop="1" x14ac:dyDescent="0.2"/>
  </sheetData>
  <phoneticPr fontId="7" type="noConversion"/>
  <pageMargins left="0.75" right="0.75" top="0.81" bottom="1" header="0.5" footer="0.5"/>
  <pageSetup paperSize="9" scale="8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48"/>
  <sheetViews>
    <sheetView showGridLines="0" workbookViewId="0"/>
  </sheetViews>
  <sheetFormatPr defaultRowHeight="14.1" customHeight="1" x14ac:dyDescent="0.2"/>
  <cols>
    <col min="1" max="1" width="29.85546875" customWidth="1"/>
    <col min="2" max="2" width="11.28515625" customWidth="1"/>
    <col min="3" max="3" width="11.42578125" customWidth="1"/>
    <col min="4" max="4" width="10.85546875" customWidth="1"/>
    <col min="5" max="5" width="10.7109375" customWidth="1"/>
    <col min="13" max="13" width="10.140625" customWidth="1"/>
    <col min="14" max="14" width="11" style="1" customWidth="1"/>
  </cols>
  <sheetData>
    <row r="1" spans="1:14" ht="14.1" customHeight="1" x14ac:dyDescent="0.25">
      <c r="A1" s="3" t="s">
        <v>169</v>
      </c>
    </row>
    <row r="2" spans="1:14" ht="14.1" customHeight="1" thickBot="1" x14ac:dyDescent="0.25"/>
    <row r="3" spans="1:14" ht="14.1" customHeight="1" thickTop="1" x14ac:dyDescent="0.2">
      <c r="A3" s="10"/>
      <c r="B3" s="11">
        <f>+'BS Detl'!C3</f>
        <v>45307</v>
      </c>
      <c r="C3" s="11">
        <f>+'BS Detl'!D3</f>
        <v>45337</v>
      </c>
      <c r="D3" s="11">
        <f>+'BS Detl'!E3</f>
        <v>45367</v>
      </c>
      <c r="E3" s="11">
        <f>+'BS Detl'!F3</f>
        <v>45397</v>
      </c>
      <c r="F3" s="11">
        <f>+'BS Detl'!G3</f>
        <v>45427</v>
      </c>
      <c r="G3" s="11">
        <f>+'BS Detl'!H3</f>
        <v>45457</v>
      </c>
      <c r="H3" s="11">
        <f>+'BS Detl'!I3</f>
        <v>45487</v>
      </c>
      <c r="I3" s="11">
        <f>+'BS Detl'!J3</f>
        <v>45517</v>
      </c>
      <c r="J3" s="11">
        <f>+'BS Detl'!K3</f>
        <v>45547</v>
      </c>
      <c r="K3" s="11">
        <f>+'BS Detl'!L3</f>
        <v>45577</v>
      </c>
      <c r="L3" s="11">
        <f>+'BS Detl'!M3</f>
        <v>45607</v>
      </c>
      <c r="M3" s="11">
        <f>+'BS Detl'!N3</f>
        <v>45637</v>
      </c>
      <c r="N3" s="11" t="s">
        <v>3</v>
      </c>
    </row>
    <row r="4" spans="1:14" ht="14.1" customHeight="1" x14ac:dyDescent="0.2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5"/>
    </row>
    <row r="5" spans="1:14" ht="14.1" customHeight="1" x14ac:dyDescent="0.2">
      <c r="A5" s="92" t="s">
        <v>13</v>
      </c>
      <c r="B5" s="93">
        <f>+Cashflow!B5+'VAT Wkgs'!B5</f>
        <v>188</v>
      </c>
      <c r="C5" s="93">
        <f>+Cashflow!C5+'VAT Wkgs'!C5</f>
        <v>5640</v>
      </c>
      <c r="D5" s="93">
        <f ca="1">+Cashflow!D5+'VAT Wkgs'!D5</f>
        <v>4230</v>
      </c>
      <c r="E5" s="93">
        <f ca="1">+Cashflow!E5+'VAT Wkgs'!E5</f>
        <v>4442</v>
      </c>
      <c r="F5" s="93">
        <f ca="1">+Cashflow!F5+'VAT Wkgs'!F5</f>
        <v>4865</v>
      </c>
      <c r="G5" s="93">
        <f ca="1">+Cashflow!G5+'VAT Wkgs'!G5</f>
        <v>4935</v>
      </c>
      <c r="H5" s="93">
        <f ca="1">+Cashflow!H5+'VAT Wkgs'!H5</f>
        <v>5147</v>
      </c>
      <c r="I5" s="93">
        <f ca="1">+Cashflow!I5+'VAT Wkgs'!I5</f>
        <v>5570</v>
      </c>
      <c r="J5" s="93">
        <f ca="1">+Cashflow!J5+'VAT Wkgs'!J5</f>
        <v>5640</v>
      </c>
      <c r="K5" s="93">
        <f ca="1">+Cashflow!K5+'VAT Wkgs'!K5</f>
        <v>5852</v>
      </c>
      <c r="L5" s="93">
        <f ca="1">+Cashflow!L5+'VAT Wkgs'!L5</f>
        <v>6275</v>
      </c>
      <c r="M5" s="93">
        <f ca="1">+Cashflow!M5+'VAT Wkgs'!M5</f>
        <v>6345</v>
      </c>
      <c r="N5" s="94">
        <f ca="1">SUM(B5:M5)</f>
        <v>59129</v>
      </c>
    </row>
    <row r="6" spans="1:14" ht="14.1" customHeight="1" thickBot="1" x14ac:dyDescent="0.25">
      <c r="A6" s="92" t="s">
        <v>133</v>
      </c>
      <c r="B6" s="93">
        <f>+Cashflow!B7+'VAT Wkgs'!B6</f>
        <v>0</v>
      </c>
      <c r="C6" s="95" t="e">
        <f>+Controls!#REF!</f>
        <v>#REF!</v>
      </c>
      <c r="D6" s="95" t="e">
        <f>+Controls!#REF!</f>
        <v>#REF!</v>
      </c>
      <c r="E6" s="95" t="e">
        <f>+Controls!#REF!</f>
        <v>#REF!</v>
      </c>
      <c r="F6" s="95" t="e">
        <f>+Controls!#REF!</f>
        <v>#REF!</v>
      </c>
      <c r="G6" s="95" t="e">
        <f>+Controls!#REF!</f>
        <v>#REF!</v>
      </c>
      <c r="H6" s="95" t="e">
        <f>+Controls!#REF!</f>
        <v>#REF!</v>
      </c>
      <c r="I6" s="95" t="e">
        <f>+Controls!#REF!</f>
        <v>#REF!</v>
      </c>
      <c r="J6" s="95" t="e">
        <f>+Controls!#REF!</f>
        <v>#REF!</v>
      </c>
      <c r="K6" s="95" t="e">
        <f>+Controls!#REF!</f>
        <v>#REF!</v>
      </c>
      <c r="L6" s="95" t="e">
        <f>+Controls!#REF!</f>
        <v>#REF!</v>
      </c>
      <c r="M6" s="95" t="e">
        <f>+Controls!#REF!</f>
        <v>#REF!</v>
      </c>
      <c r="N6" s="94" t="e">
        <f>SUM(B6:M6)</f>
        <v>#REF!</v>
      </c>
    </row>
    <row r="7" spans="1:14" s="1" customFormat="1" ht="14.1" customHeight="1" thickBot="1" x14ac:dyDescent="0.25">
      <c r="A7" s="38" t="s">
        <v>15</v>
      </c>
      <c r="B7" s="52">
        <f t="shared" ref="B7:M7" si="0">SUM(B5:B6)</f>
        <v>188</v>
      </c>
      <c r="C7" s="52" t="e">
        <f t="shared" si="0"/>
        <v>#REF!</v>
      </c>
      <c r="D7" s="52" t="e">
        <f t="shared" ca="1" si="0"/>
        <v>#REF!</v>
      </c>
      <c r="E7" s="52" t="e">
        <f t="shared" ca="1" si="0"/>
        <v>#REF!</v>
      </c>
      <c r="F7" s="52" t="e">
        <f t="shared" ca="1" si="0"/>
        <v>#REF!</v>
      </c>
      <c r="G7" s="52" t="e">
        <f t="shared" ca="1" si="0"/>
        <v>#REF!</v>
      </c>
      <c r="H7" s="52" t="e">
        <f t="shared" ca="1" si="0"/>
        <v>#REF!</v>
      </c>
      <c r="I7" s="52" t="e">
        <f t="shared" ca="1" si="0"/>
        <v>#REF!</v>
      </c>
      <c r="J7" s="52" t="e">
        <f t="shared" ca="1" si="0"/>
        <v>#REF!</v>
      </c>
      <c r="K7" s="52" t="e">
        <f t="shared" ca="1" si="0"/>
        <v>#REF!</v>
      </c>
      <c r="L7" s="52" t="e">
        <f t="shared" ca="1" si="0"/>
        <v>#REF!</v>
      </c>
      <c r="M7" s="52" t="e">
        <f t="shared" ca="1" si="0"/>
        <v>#REF!</v>
      </c>
      <c r="N7" s="40" t="e">
        <f>SUM(B7:M7)</f>
        <v>#REF!</v>
      </c>
    </row>
    <row r="8" spans="1:14" ht="14.1" customHeight="1" x14ac:dyDescent="0.2">
      <c r="A8" s="76" t="s">
        <v>93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2"/>
    </row>
    <row r="9" spans="1:14" s="1" customFormat="1" ht="14.1" customHeight="1" x14ac:dyDescent="0.2">
      <c r="A9" s="71" t="s">
        <v>94</v>
      </c>
      <c r="B9" s="61">
        <f>+Cashflow!B10+'VAT Wkgs'!B9</f>
        <v>1019</v>
      </c>
      <c r="C9" s="61">
        <f>+Cashflow!C10+'VAT Wkgs'!C9</f>
        <v>3240</v>
      </c>
      <c r="D9" s="61">
        <f ca="1">+Cashflow!D10+'VAT Wkgs'!D9</f>
        <v>2676</v>
      </c>
      <c r="E9" s="61">
        <f ca="1">+Cashflow!E10+'VAT Wkgs'!E9</f>
        <v>2681</v>
      </c>
      <c r="F9" s="61">
        <f ca="1">+Cashflow!F10+'VAT Wkgs'!F9</f>
        <v>2714</v>
      </c>
      <c r="G9" s="61">
        <f ca="1">+Cashflow!G10+'VAT Wkgs'!G9</f>
        <v>3000</v>
      </c>
      <c r="H9" s="61">
        <f ca="1">+Cashflow!H10+'VAT Wkgs'!H9</f>
        <v>3005</v>
      </c>
      <c r="I9" s="61">
        <f ca="1">+Cashflow!I10+'VAT Wkgs'!I9</f>
        <v>3038</v>
      </c>
      <c r="J9" s="61">
        <f ca="1">+Cashflow!J10+'VAT Wkgs'!J9</f>
        <v>3324</v>
      </c>
      <c r="K9" s="61">
        <f ca="1">+Cashflow!K10+'VAT Wkgs'!K9</f>
        <v>3329</v>
      </c>
      <c r="L9" s="61">
        <f ca="1">+Cashflow!L10+'VAT Wkgs'!L9</f>
        <v>3362</v>
      </c>
      <c r="M9" s="61">
        <f ca="1">+Cashflow!M10+'VAT Wkgs'!M9</f>
        <v>3648</v>
      </c>
      <c r="N9" s="65">
        <f ca="1">SUM(B9:M9)</f>
        <v>35036</v>
      </c>
    </row>
    <row r="10" spans="1:14" s="1" customFormat="1" ht="14.1" customHeight="1" x14ac:dyDescent="0.2">
      <c r="A10" s="71" t="s">
        <v>95</v>
      </c>
      <c r="B10" s="61" t="e">
        <f>+Cashflow!#REF!+'VAT Wkgs'!B10</f>
        <v>#REF!</v>
      </c>
      <c r="C10" s="61" t="e">
        <f>+Cashflow!#REF!+'VAT Wkgs'!C10</f>
        <v>#REF!</v>
      </c>
      <c r="D10" s="61" t="e">
        <f>+Cashflow!#REF!+'VAT Wkgs'!D10</f>
        <v>#REF!</v>
      </c>
      <c r="E10" s="61" t="e">
        <f>+Cashflow!#REF!+'VAT Wkgs'!E10</f>
        <v>#REF!</v>
      </c>
      <c r="F10" s="61" t="e">
        <f>+Cashflow!#REF!+'VAT Wkgs'!F10</f>
        <v>#REF!</v>
      </c>
      <c r="G10" s="61" t="e">
        <f>+Cashflow!#REF!+'VAT Wkgs'!G10</f>
        <v>#REF!</v>
      </c>
      <c r="H10" s="61" t="e">
        <f>+Cashflow!#REF!+'VAT Wkgs'!H10</f>
        <v>#REF!</v>
      </c>
      <c r="I10" s="61" t="e">
        <f>+Cashflow!#REF!+'VAT Wkgs'!I10</f>
        <v>#REF!</v>
      </c>
      <c r="J10" s="61" t="e">
        <f>+Cashflow!#REF!+'VAT Wkgs'!J10</f>
        <v>#REF!</v>
      </c>
      <c r="K10" s="61" t="e">
        <f>+Cashflow!#REF!+'VAT Wkgs'!K10</f>
        <v>#REF!</v>
      </c>
      <c r="L10" s="61" t="e">
        <f>+Cashflow!#REF!+'VAT Wkgs'!L10</f>
        <v>#REF!</v>
      </c>
      <c r="M10" s="61" t="e">
        <f>+Cashflow!#REF!+'VAT Wkgs'!M10</f>
        <v>#REF!</v>
      </c>
      <c r="N10" s="65" t="e">
        <f>SUM(B10:M10)</f>
        <v>#REF!</v>
      </c>
    </row>
    <row r="11" spans="1:14" ht="12.75" x14ac:dyDescent="0.2">
      <c r="A11" s="60" t="s">
        <v>96</v>
      </c>
      <c r="B11" s="61" t="e">
        <f>+Cashflow!#REF!+'VAT Wkgs'!B11</f>
        <v>#REF!</v>
      </c>
      <c r="C11" s="61" t="e">
        <f>+Cashflow!#REF!+'VAT Wkgs'!C11</f>
        <v>#REF!</v>
      </c>
      <c r="D11" s="61" t="e">
        <f>+Cashflow!#REF!+'VAT Wkgs'!D11</f>
        <v>#REF!</v>
      </c>
      <c r="E11" s="61" t="e">
        <f>+Cashflow!#REF!+'VAT Wkgs'!E11</f>
        <v>#REF!</v>
      </c>
      <c r="F11" s="61" t="e">
        <f>+Cashflow!#REF!+'VAT Wkgs'!F11</f>
        <v>#REF!</v>
      </c>
      <c r="G11" s="61" t="e">
        <f>+Cashflow!#REF!+'VAT Wkgs'!G11</f>
        <v>#REF!</v>
      </c>
      <c r="H11" s="61" t="e">
        <f>+Cashflow!#REF!+'VAT Wkgs'!H11</f>
        <v>#REF!</v>
      </c>
      <c r="I11" s="61" t="e">
        <f>+Cashflow!#REF!+'VAT Wkgs'!I11</f>
        <v>#REF!</v>
      </c>
      <c r="J11" s="61" t="e">
        <f>+Cashflow!#REF!+'VAT Wkgs'!J11</f>
        <v>#REF!</v>
      </c>
      <c r="K11" s="61" t="e">
        <f>+Cashflow!#REF!+'VAT Wkgs'!K11</f>
        <v>#REF!</v>
      </c>
      <c r="L11" s="61" t="e">
        <f>+Cashflow!#REF!+'VAT Wkgs'!L11</f>
        <v>#REF!</v>
      </c>
      <c r="M11" s="61" t="e">
        <f>+Cashflow!#REF!+'VAT Wkgs'!M11</f>
        <v>#REF!</v>
      </c>
      <c r="N11" s="63" t="e">
        <f t="shared" ref="N11:N20" si="1">SUM(B11:M11)</f>
        <v>#REF!</v>
      </c>
    </row>
    <row r="12" spans="1:14" ht="12.75" x14ac:dyDescent="0.2">
      <c r="A12" s="60" t="s">
        <v>97</v>
      </c>
      <c r="B12" s="61" t="e">
        <f>+Cashflow!#REF!+'VAT Wkgs'!B12</f>
        <v>#REF!</v>
      </c>
      <c r="C12" s="61" t="e">
        <f>+Cashflow!#REF!+'VAT Wkgs'!C12</f>
        <v>#REF!</v>
      </c>
      <c r="D12" s="61" t="e">
        <f>+Cashflow!#REF!+'VAT Wkgs'!D12</f>
        <v>#REF!</v>
      </c>
      <c r="E12" s="61" t="e">
        <f>+Cashflow!#REF!+'VAT Wkgs'!E12</f>
        <v>#REF!</v>
      </c>
      <c r="F12" s="61" t="e">
        <f>+Cashflow!#REF!+'VAT Wkgs'!F12</f>
        <v>#REF!</v>
      </c>
      <c r="G12" s="61" t="e">
        <f>+Cashflow!#REF!+'VAT Wkgs'!G12</f>
        <v>#REF!</v>
      </c>
      <c r="H12" s="61" t="e">
        <f>+Cashflow!#REF!+'VAT Wkgs'!H12</f>
        <v>#REF!</v>
      </c>
      <c r="I12" s="61" t="e">
        <f>+Cashflow!#REF!+'VAT Wkgs'!I12</f>
        <v>#REF!</v>
      </c>
      <c r="J12" s="61" t="e">
        <f>+Cashflow!#REF!+'VAT Wkgs'!J12</f>
        <v>#REF!</v>
      </c>
      <c r="K12" s="61" t="e">
        <f>+Cashflow!#REF!+'VAT Wkgs'!K12</f>
        <v>#REF!</v>
      </c>
      <c r="L12" s="61" t="e">
        <f>+Cashflow!#REF!+'VAT Wkgs'!L12</f>
        <v>#REF!</v>
      </c>
      <c r="M12" s="61" t="e">
        <f>+Cashflow!#REF!+'VAT Wkgs'!M12</f>
        <v>#REF!</v>
      </c>
      <c r="N12" s="63" t="e">
        <f t="shared" si="1"/>
        <v>#REF!</v>
      </c>
    </row>
    <row r="13" spans="1:14" ht="12.75" x14ac:dyDescent="0.2">
      <c r="A13" s="60" t="s">
        <v>98</v>
      </c>
      <c r="B13" s="61" t="e">
        <f>+Cashflow!#REF!+'VAT Wkgs'!B13</f>
        <v>#REF!</v>
      </c>
      <c r="C13" s="61" t="e">
        <f>+Cashflow!#REF!+'VAT Wkgs'!C13</f>
        <v>#REF!</v>
      </c>
      <c r="D13" s="61" t="e">
        <f>+Cashflow!#REF!+'VAT Wkgs'!D13</f>
        <v>#REF!</v>
      </c>
      <c r="E13" s="61" t="e">
        <f>+Cashflow!#REF!+'VAT Wkgs'!E13</f>
        <v>#REF!</v>
      </c>
      <c r="F13" s="61" t="e">
        <f>+Cashflow!#REF!+'VAT Wkgs'!F13</f>
        <v>#REF!</v>
      </c>
      <c r="G13" s="61" t="e">
        <f>+Cashflow!#REF!+'VAT Wkgs'!G13</f>
        <v>#REF!</v>
      </c>
      <c r="H13" s="61" t="e">
        <f>+Cashflow!#REF!+'VAT Wkgs'!H13</f>
        <v>#REF!</v>
      </c>
      <c r="I13" s="61" t="e">
        <f>+Cashflow!#REF!+'VAT Wkgs'!I13</f>
        <v>#REF!</v>
      </c>
      <c r="J13" s="61" t="e">
        <f>+Cashflow!#REF!+'VAT Wkgs'!J13</f>
        <v>#REF!</v>
      </c>
      <c r="K13" s="61" t="e">
        <f>+Cashflow!#REF!+'VAT Wkgs'!K13</f>
        <v>#REF!</v>
      </c>
      <c r="L13" s="61" t="e">
        <f>+Cashflow!#REF!+'VAT Wkgs'!L13</f>
        <v>#REF!</v>
      </c>
      <c r="M13" s="61" t="e">
        <f>+Cashflow!#REF!+'VAT Wkgs'!M13</f>
        <v>#REF!</v>
      </c>
      <c r="N13" s="63" t="e">
        <f t="shared" si="1"/>
        <v>#REF!</v>
      </c>
    </row>
    <row r="14" spans="1:14" ht="12.75" x14ac:dyDescent="0.2">
      <c r="A14" s="60" t="s">
        <v>167</v>
      </c>
      <c r="B14" s="61" t="e">
        <f>+Cashflow!#REF!+'VAT Wkgs'!B14</f>
        <v>#REF!</v>
      </c>
      <c r="C14" s="61" t="e">
        <f>+Cashflow!#REF!+'VAT Wkgs'!C14</f>
        <v>#REF!</v>
      </c>
      <c r="D14" s="61" t="e">
        <f>+Cashflow!#REF!+'VAT Wkgs'!D14</f>
        <v>#REF!</v>
      </c>
      <c r="E14" s="61" t="e">
        <f>+Cashflow!#REF!+'VAT Wkgs'!E14</f>
        <v>#REF!</v>
      </c>
      <c r="F14" s="61" t="e">
        <f>+Cashflow!#REF!+'VAT Wkgs'!F14</f>
        <v>#REF!</v>
      </c>
      <c r="G14" s="61" t="e">
        <f>+Cashflow!#REF!+'VAT Wkgs'!G14</f>
        <v>#REF!</v>
      </c>
      <c r="H14" s="61" t="e">
        <f>+Cashflow!#REF!+'VAT Wkgs'!H14</f>
        <v>#REF!</v>
      </c>
      <c r="I14" s="61" t="e">
        <f>+Cashflow!#REF!+'VAT Wkgs'!I14</f>
        <v>#REF!</v>
      </c>
      <c r="J14" s="61" t="e">
        <f>+Cashflow!#REF!+'VAT Wkgs'!J14</f>
        <v>#REF!</v>
      </c>
      <c r="K14" s="61" t="e">
        <f>+Cashflow!#REF!+'VAT Wkgs'!K14</f>
        <v>#REF!</v>
      </c>
      <c r="L14" s="61" t="e">
        <f>+Cashflow!#REF!+'VAT Wkgs'!L14</f>
        <v>#REF!</v>
      </c>
      <c r="M14" s="61" t="e">
        <f>+Cashflow!#REF!+'VAT Wkgs'!M14</f>
        <v>#REF!</v>
      </c>
      <c r="N14" s="63" t="e">
        <f t="shared" si="1"/>
        <v>#REF!</v>
      </c>
    </row>
    <row r="15" spans="1:14" ht="12.75" x14ac:dyDescent="0.2">
      <c r="A15" s="60" t="s">
        <v>99</v>
      </c>
      <c r="B15" s="61" t="e">
        <f>+Cashflow!#REF!+'VAT Wkgs'!B15</f>
        <v>#REF!</v>
      </c>
      <c r="C15" s="61" t="e">
        <f>+Cashflow!#REF!+'VAT Wkgs'!C15</f>
        <v>#REF!</v>
      </c>
      <c r="D15" s="61" t="e">
        <f>+Cashflow!#REF!+'VAT Wkgs'!D15</f>
        <v>#REF!</v>
      </c>
      <c r="E15" s="61" t="e">
        <f>+Cashflow!#REF!+'VAT Wkgs'!E15</f>
        <v>#REF!</v>
      </c>
      <c r="F15" s="61" t="e">
        <f>+Cashflow!#REF!+'VAT Wkgs'!F15</f>
        <v>#REF!</v>
      </c>
      <c r="G15" s="61" t="e">
        <f>+Cashflow!#REF!+'VAT Wkgs'!G15</f>
        <v>#REF!</v>
      </c>
      <c r="H15" s="61" t="e">
        <f>+Cashflow!#REF!+'VAT Wkgs'!H15</f>
        <v>#REF!</v>
      </c>
      <c r="I15" s="61" t="e">
        <f>+Cashflow!#REF!+'VAT Wkgs'!I15</f>
        <v>#REF!</v>
      </c>
      <c r="J15" s="61" t="e">
        <f>+Cashflow!#REF!+'VAT Wkgs'!J15</f>
        <v>#REF!</v>
      </c>
      <c r="K15" s="61" t="e">
        <f>+Cashflow!#REF!+'VAT Wkgs'!K15</f>
        <v>#REF!</v>
      </c>
      <c r="L15" s="61" t="e">
        <f>+Cashflow!#REF!+'VAT Wkgs'!L15</f>
        <v>#REF!</v>
      </c>
      <c r="M15" s="61" t="e">
        <f>+Cashflow!#REF!+'VAT Wkgs'!M15</f>
        <v>#REF!</v>
      </c>
      <c r="N15" s="63" t="e">
        <f t="shared" si="1"/>
        <v>#REF!</v>
      </c>
    </row>
    <row r="16" spans="1:14" ht="12.75" x14ac:dyDescent="0.2">
      <c r="A16" s="60" t="s">
        <v>100</v>
      </c>
      <c r="B16" s="61" t="e">
        <f>+Cashflow!#REF!+'VAT Wkgs'!B16</f>
        <v>#REF!</v>
      </c>
      <c r="C16" s="61" t="e">
        <f>+Cashflow!#REF!+'VAT Wkgs'!C16</f>
        <v>#REF!</v>
      </c>
      <c r="D16" s="61" t="e">
        <f>+Cashflow!#REF!+'VAT Wkgs'!D16</f>
        <v>#REF!</v>
      </c>
      <c r="E16" s="61" t="e">
        <f>+Cashflow!#REF!+'VAT Wkgs'!E16</f>
        <v>#REF!</v>
      </c>
      <c r="F16" s="61" t="e">
        <f>+Cashflow!#REF!+'VAT Wkgs'!F16</f>
        <v>#REF!</v>
      </c>
      <c r="G16" s="61" t="e">
        <f>+Cashflow!#REF!+'VAT Wkgs'!G16</f>
        <v>#REF!</v>
      </c>
      <c r="H16" s="61" t="e">
        <f>+Cashflow!#REF!+'VAT Wkgs'!H16</f>
        <v>#REF!</v>
      </c>
      <c r="I16" s="61" t="e">
        <f>+Cashflow!#REF!+'VAT Wkgs'!I16</f>
        <v>#REF!</v>
      </c>
      <c r="J16" s="61" t="e">
        <f>+Cashflow!#REF!+'VAT Wkgs'!J16</f>
        <v>#REF!</v>
      </c>
      <c r="K16" s="61" t="e">
        <f>+Cashflow!#REF!+'VAT Wkgs'!K16</f>
        <v>#REF!</v>
      </c>
      <c r="L16" s="61" t="e">
        <f>+Cashflow!#REF!+'VAT Wkgs'!L16</f>
        <v>#REF!</v>
      </c>
      <c r="M16" s="61" t="e">
        <f>+Cashflow!#REF!+'VAT Wkgs'!M16</f>
        <v>#REF!</v>
      </c>
      <c r="N16" s="63" t="e">
        <f t="shared" si="1"/>
        <v>#REF!</v>
      </c>
    </row>
    <row r="17" spans="1:14" ht="12.75" x14ac:dyDescent="0.2">
      <c r="A17" s="60" t="s">
        <v>134</v>
      </c>
      <c r="B17" s="61" t="e">
        <f>+Cashflow!#REF!+'VAT Wkgs'!B17</f>
        <v>#REF!</v>
      </c>
      <c r="C17" s="61" t="e">
        <f>+Cashflow!#REF!+'VAT Wkgs'!C17</f>
        <v>#REF!</v>
      </c>
      <c r="D17" s="61" t="e">
        <f>+Cashflow!#REF!+'VAT Wkgs'!D17</f>
        <v>#REF!</v>
      </c>
      <c r="E17" s="61" t="e">
        <f>+Cashflow!#REF!+'VAT Wkgs'!E17</f>
        <v>#REF!</v>
      </c>
      <c r="F17" s="61" t="e">
        <f>+Cashflow!#REF!+'VAT Wkgs'!F17</f>
        <v>#REF!</v>
      </c>
      <c r="G17" s="61" t="e">
        <f>+Cashflow!#REF!+'VAT Wkgs'!G17</f>
        <v>#REF!</v>
      </c>
      <c r="H17" s="61" t="e">
        <f>+Cashflow!#REF!+'VAT Wkgs'!H17</f>
        <v>#REF!</v>
      </c>
      <c r="I17" s="61" t="e">
        <f>+Cashflow!#REF!+'VAT Wkgs'!I17</f>
        <v>#REF!</v>
      </c>
      <c r="J17" s="61" t="e">
        <f>+Cashflow!#REF!+'VAT Wkgs'!J17</f>
        <v>#REF!</v>
      </c>
      <c r="K17" s="61" t="e">
        <f>+Cashflow!#REF!+'VAT Wkgs'!K17</f>
        <v>#REF!</v>
      </c>
      <c r="L17" s="61" t="e">
        <f>+Cashflow!#REF!+'VAT Wkgs'!L17</f>
        <v>#REF!</v>
      </c>
      <c r="M17" s="61" t="e">
        <f>+Cashflow!#REF!+'VAT Wkgs'!M17</f>
        <v>#REF!</v>
      </c>
      <c r="N17" s="63" t="e">
        <f t="shared" si="1"/>
        <v>#REF!</v>
      </c>
    </row>
    <row r="18" spans="1:14" ht="12.75" x14ac:dyDescent="0.2">
      <c r="A18" s="60" t="s">
        <v>102</v>
      </c>
      <c r="B18" s="61" t="e">
        <f>+Cashflow!#REF!+'VAT Wkgs'!B18</f>
        <v>#REF!</v>
      </c>
      <c r="C18" s="61" t="e">
        <f>+Cashflow!#REF!+'VAT Wkgs'!C18</f>
        <v>#REF!</v>
      </c>
      <c r="D18" s="61" t="e">
        <f>+Cashflow!#REF!+'VAT Wkgs'!D18</f>
        <v>#REF!</v>
      </c>
      <c r="E18" s="61" t="e">
        <f>+Cashflow!#REF!+'VAT Wkgs'!E18</f>
        <v>#REF!</v>
      </c>
      <c r="F18" s="61" t="e">
        <f>+Cashflow!#REF!+'VAT Wkgs'!F18</f>
        <v>#REF!</v>
      </c>
      <c r="G18" s="61" t="e">
        <f>+Cashflow!#REF!+'VAT Wkgs'!G18</f>
        <v>#REF!</v>
      </c>
      <c r="H18" s="61" t="e">
        <f>+Cashflow!#REF!+'VAT Wkgs'!H18</f>
        <v>#REF!</v>
      </c>
      <c r="I18" s="61" t="e">
        <f>+Cashflow!#REF!+'VAT Wkgs'!I18</f>
        <v>#REF!</v>
      </c>
      <c r="J18" s="61" t="e">
        <f>+Cashflow!#REF!+'VAT Wkgs'!J18</f>
        <v>#REF!</v>
      </c>
      <c r="K18" s="61" t="e">
        <f>+Cashflow!#REF!+'VAT Wkgs'!K18</f>
        <v>#REF!</v>
      </c>
      <c r="L18" s="61" t="e">
        <f>+Cashflow!#REF!+'VAT Wkgs'!L18</f>
        <v>#REF!</v>
      </c>
      <c r="M18" s="61" t="e">
        <f>+Cashflow!#REF!+'VAT Wkgs'!M18</f>
        <v>#REF!</v>
      </c>
      <c r="N18" s="63" t="e">
        <f t="shared" si="1"/>
        <v>#REF!</v>
      </c>
    </row>
    <row r="19" spans="1:14" ht="12.75" x14ac:dyDescent="0.2">
      <c r="A19" s="60" t="s">
        <v>103</v>
      </c>
      <c r="B19" s="61" t="e">
        <f>+Cashflow!#REF!+'VAT Wkgs'!B19</f>
        <v>#REF!</v>
      </c>
      <c r="C19" s="61" t="e">
        <f>+Cashflow!#REF!+'VAT Wkgs'!C19</f>
        <v>#REF!</v>
      </c>
      <c r="D19" s="61" t="e">
        <f>+Cashflow!#REF!+'VAT Wkgs'!D19</f>
        <v>#REF!</v>
      </c>
      <c r="E19" s="61" t="e">
        <f>+Cashflow!#REF!+'VAT Wkgs'!E19</f>
        <v>#REF!</v>
      </c>
      <c r="F19" s="61" t="e">
        <f>+Cashflow!#REF!+'VAT Wkgs'!F19</f>
        <v>#REF!</v>
      </c>
      <c r="G19" s="61" t="e">
        <f>+Cashflow!#REF!+'VAT Wkgs'!G19</f>
        <v>#REF!</v>
      </c>
      <c r="H19" s="61" t="e">
        <f>+Cashflow!#REF!+'VAT Wkgs'!H19</f>
        <v>#REF!</v>
      </c>
      <c r="I19" s="61" t="e">
        <f>+Cashflow!#REF!+'VAT Wkgs'!I19</f>
        <v>#REF!</v>
      </c>
      <c r="J19" s="61" t="e">
        <f>+Cashflow!#REF!+'VAT Wkgs'!J19</f>
        <v>#REF!</v>
      </c>
      <c r="K19" s="61" t="e">
        <f>+Cashflow!#REF!+'VAT Wkgs'!K19</f>
        <v>#REF!</v>
      </c>
      <c r="L19" s="61" t="e">
        <f>+Cashflow!#REF!+'VAT Wkgs'!L19</f>
        <v>#REF!</v>
      </c>
      <c r="M19" s="61" t="e">
        <f>+Cashflow!#REF!+'VAT Wkgs'!M19</f>
        <v>#REF!</v>
      </c>
      <c r="N19" s="63" t="e">
        <f t="shared" si="1"/>
        <v>#REF!</v>
      </c>
    </row>
    <row r="20" spans="1:14" ht="12.75" x14ac:dyDescent="0.2">
      <c r="A20" s="60" t="s">
        <v>104</v>
      </c>
      <c r="B20" s="61" t="e">
        <f>+Cashflow!#REF!+'VAT Wkgs'!B20</f>
        <v>#REF!</v>
      </c>
      <c r="C20" s="61" t="e">
        <f>+Cashflow!#REF!+'VAT Wkgs'!C20</f>
        <v>#REF!</v>
      </c>
      <c r="D20" s="61" t="e">
        <f>+Cashflow!#REF!+'VAT Wkgs'!D20</f>
        <v>#REF!</v>
      </c>
      <c r="E20" s="61" t="e">
        <f>+Cashflow!#REF!+'VAT Wkgs'!E20</f>
        <v>#REF!</v>
      </c>
      <c r="F20" s="61" t="e">
        <f>+Cashflow!#REF!+'VAT Wkgs'!F20</f>
        <v>#REF!</v>
      </c>
      <c r="G20" s="61" t="e">
        <f>+Cashflow!#REF!+'VAT Wkgs'!G20</f>
        <v>#REF!</v>
      </c>
      <c r="H20" s="61" t="e">
        <f>+Cashflow!#REF!+'VAT Wkgs'!H20</f>
        <v>#REF!</v>
      </c>
      <c r="I20" s="61" t="e">
        <f>+Cashflow!#REF!+'VAT Wkgs'!I20</f>
        <v>#REF!</v>
      </c>
      <c r="J20" s="61" t="e">
        <f>+Cashflow!#REF!+'VAT Wkgs'!J20</f>
        <v>#REF!</v>
      </c>
      <c r="K20" s="61" t="e">
        <f>+Cashflow!#REF!+'VAT Wkgs'!K20</f>
        <v>#REF!</v>
      </c>
      <c r="L20" s="61" t="e">
        <f>+Cashflow!#REF!+'VAT Wkgs'!L20</f>
        <v>#REF!</v>
      </c>
      <c r="M20" s="61" t="e">
        <f>+Cashflow!#REF!+'VAT Wkgs'!M20</f>
        <v>#REF!</v>
      </c>
      <c r="N20" s="63" t="e">
        <f t="shared" si="1"/>
        <v>#REF!</v>
      </c>
    </row>
    <row r="21" spans="1:14" s="1" customFormat="1" ht="14.1" customHeight="1" x14ac:dyDescent="0.2">
      <c r="A21" s="71" t="s">
        <v>105</v>
      </c>
      <c r="B21" s="61" t="e">
        <f>+Cashflow!#REF!+'VAT Wkgs'!B21</f>
        <v>#REF!</v>
      </c>
      <c r="C21" s="61" t="e">
        <f>+Cashflow!#REF!+'VAT Wkgs'!C21</f>
        <v>#REF!</v>
      </c>
      <c r="D21" s="61" t="e">
        <f>+Cashflow!#REF!+'VAT Wkgs'!D21</f>
        <v>#REF!</v>
      </c>
      <c r="E21" s="61" t="e">
        <f>+Cashflow!#REF!+'VAT Wkgs'!E21</f>
        <v>#REF!</v>
      </c>
      <c r="F21" s="61" t="e">
        <f>+Cashflow!#REF!+'VAT Wkgs'!F21</f>
        <v>#REF!</v>
      </c>
      <c r="G21" s="61" t="e">
        <f>+Cashflow!#REF!+'VAT Wkgs'!G21</f>
        <v>#REF!</v>
      </c>
      <c r="H21" s="61" t="e">
        <f>+Cashflow!#REF!+'VAT Wkgs'!H21</f>
        <v>#REF!</v>
      </c>
      <c r="I21" s="61" t="e">
        <f>+Cashflow!#REF!+'VAT Wkgs'!I21</f>
        <v>#REF!</v>
      </c>
      <c r="J21" s="61" t="e">
        <f>+Cashflow!#REF!+'VAT Wkgs'!J21</f>
        <v>#REF!</v>
      </c>
      <c r="K21" s="61" t="e">
        <f>+Cashflow!#REF!+'VAT Wkgs'!K21</f>
        <v>#REF!</v>
      </c>
      <c r="L21" s="61" t="e">
        <f>+Cashflow!#REF!+'VAT Wkgs'!L21</f>
        <v>#REF!</v>
      </c>
      <c r="M21" s="61" t="e">
        <f>+Cashflow!#REF!+'VAT Wkgs'!M21</f>
        <v>#REF!</v>
      </c>
      <c r="N21" s="65" t="e">
        <f>SUM(B21:M21)</f>
        <v>#REF!</v>
      </c>
    </row>
    <row r="22" spans="1:14" s="1" customFormat="1" ht="14.1" customHeight="1" x14ac:dyDescent="0.2">
      <c r="A22" s="71" t="s">
        <v>168</v>
      </c>
      <c r="B22" s="61" t="e">
        <f>+Cashflow!#REF!+'VAT Wkgs'!B22</f>
        <v>#REF!</v>
      </c>
      <c r="C22" s="61" t="e">
        <f>+Cashflow!#REF!+'VAT Wkgs'!C22</f>
        <v>#REF!</v>
      </c>
      <c r="D22" s="61" t="e">
        <f>+Cashflow!#REF!+'VAT Wkgs'!D22</f>
        <v>#REF!</v>
      </c>
      <c r="E22" s="61" t="e">
        <f>+Cashflow!#REF!+'VAT Wkgs'!E22</f>
        <v>#REF!</v>
      </c>
      <c r="F22" s="61" t="e">
        <f>+Cashflow!#REF!+'VAT Wkgs'!F22</f>
        <v>#REF!</v>
      </c>
      <c r="G22" s="61" t="e">
        <f>+Cashflow!#REF!+'VAT Wkgs'!G22</f>
        <v>#REF!</v>
      </c>
      <c r="H22" s="61" t="e">
        <f>+Cashflow!#REF!+'VAT Wkgs'!H22</f>
        <v>#REF!</v>
      </c>
      <c r="I22" s="61" t="e">
        <f>+Cashflow!#REF!+'VAT Wkgs'!I22</f>
        <v>#REF!</v>
      </c>
      <c r="J22" s="61" t="e">
        <f>+Cashflow!#REF!+'VAT Wkgs'!J22</f>
        <v>#REF!</v>
      </c>
      <c r="K22" s="61" t="e">
        <f>+Cashflow!#REF!+'VAT Wkgs'!K22</f>
        <v>#REF!</v>
      </c>
      <c r="L22" s="61" t="e">
        <f>+Cashflow!#REF!+'VAT Wkgs'!L22</f>
        <v>#REF!</v>
      </c>
      <c r="M22" s="61" t="e">
        <f>+Cashflow!#REF!+'VAT Wkgs'!M22</f>
        <v>#REF!</v>
      </c>
      <c r="N22" s="65" t="e">
        <f>SUM(B22:M22)</f>
        <v>#REF!</v>
      </c>
    </row>
    <row r="23" spans="1:14" s="1" customFormat="1" ht="14.1" customHeight="1" x14ac:dyDescent="0.2">
      <c r="A23" s="71"/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5"/>
    </row>
    <row r="24" spans="1:14" s="1" customFormat="1" ht="14.1" customHeight="1" x14ac:dyDescent="0.2">
      <c r="A24" s="90" t="s">
        <v>112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49"/>
    </row>
    <row r="25" spans="1:14" ht="14.1" customHeight="1" x14ac:dyDescent="0.2">
      <c r="A25" s="80" t="s">
        <v>127</v>
      </c>
      <c r="B25" s="81">
        <f>+Cashflow!B12</f>
        <v>367</v>
      </c>
      <c r="C25" s="81">
        <f>+Cashflow!C12</f>
        <v>367</v>
      </c>
      <c r="D25" s="81">
        <f>+Cashflow!D12</f>
        <v>367</v>
      </c>
      <c r="E25" s="81">
        <f>+Cashflow!E12</f>
        <v>385</v>
      </c>
      <c r="F25" s="81">
        <f>+Cashflow!F12</f>
        <v>385</v>
      </c>
      <c r="G25" s="81">
        <f>+Cashflow!G12</f>
        <v>385</v>
      </c>
      <c r="H25" s="81">
        <f>+Cashflow!H12</f>
        <v>402</v>
      </c>
      <c r="I25" s="81">
        <f>+Cashflow!I12</f>
        <v>402</v>
      </c>
      <c r="J25" s="81">
        <f>+Cashflow!J12</f>
        <v>402</v>
      </c>
      <c r="K25" s="81">
        <f>+Cashflow!K12</f>
        <v>420</v>
      </c>
      <c r="L25" s="81">
        <f>+Cashflow!L12</f>
        <v>420</v>
      </c>
      <c r="M25" s="81">
        <f>+Cashflow!M12</f>
        <v>420</v>
      </c>
      <c r="N25" s="82">
        <f t="shared" ref="N25:N32" si="2">SUM(B25:M25)</f>
        <v>4722</v>
      </c>
    </row>
    <row r="26" spans="1:14" ht="14.1" customHeight="1" x14ac:dyDescent="0.2">
      <c r="A26" s="80" t="s">
        <v>128</v>
      </c>
      <c r="B26" s="81">
        <f>+Cashflow!B13</f>
        <v>150</v>
      </c>
      <c r="C26" s="81">
        <f>+Cashflow!C13</f>
        <v>158</v>
      </c>
      <c r="D26" s="81">
        <f>+Cashflow!D13</f>
        <v>158</v>
      </c>
      <c r="E26" s="81">
        <f>'P&amp;L Detl'!H13-cashflowGross!D25</f>
        <v>-267</v>
      </c>
      <c r="F26" s="81">
        <f>'P&amp;L Detl'!I13-cashflowGross!E25</f>
        <v>-260</v>
      </c>
      <c r="G26" s="81">
        <f>'P&amp;L Detl'!J13-cashflowGross!F25</f>
        <v>-260</v>
      </c>
      <c r="H26" s="81">
        <f>'P&amp;L Detl'!K13-cashflowGross!G25</f>
        <v>-260</v>
      </c>
      <c r="I26" s="81">
        <f>'P&amp;L Detl'!L13-cashflowGross!H25</f>
        <v>-252</v>
      </c>
      <c r="J26" s="81">
        <f>'P&amp;L Detl'!M13-cashflowGross!I25</f>
        <v>-252</v>
      </c>
      <c r="K26" s="81">
        <f>'P&amp;L Detl'!N13-cashflowGross!J25</f>
        <v>-252</v>
      </c>
      <c r="L26" s="81">
        <f>'P&amp;L Detl'!O13-cashflowGross!K25</f>
        <v>-245</v>
      </c>
      <c r="M26" s="81">
        <f>'P&amp;L Detl'!P13-cashflowGross!L25</f>
        <v>-245</v>
      </c>
      <c r="N26" s="82">
        <f t="shared" si="2"/>
        <v>-1827</v>
      </c>
    </row>
    <row r="27" spans="1:14" ht="11.25" customHeight="1" x14ac:dyDescent="0.2">
      <c r="A27" s="31" t="s">
        <v>107</v>
      </c>
      <c r="B27" s="73" t="e">
        <f>+Cashflow!#REF!</f>
        <v>#REF!</v>
      </c>
      <c r="C27" s="73" t="e">
        <f>+Cashflow!#REF!</f>
        <v>#REF!</v>
      </c>
      <c r="D27" s="73" t="e">
        <f>+Cashflow!#REF!</f>
        <v>#REF!</v>
      </c>
      <c r="E27" s="73" t="e">
        <f>+Cashflow!#REF!</f>
        <v>#REF!</v>
      </c>
      <c r="F27" s="73" t="e">
        <f>+Cashflow!#REF!</f>
        <v>#REF!</v>
      </c>
      <c r="G27" s="73" t="e">
        <f>+Cashflow!#REF!</f>
        <v>#REF!</v>
      </c>
      <c r="H27" s="73" t="e">
        <f>+Cashflow!#REF!</f>
        <v>#REF!</v>
      </c>
      <c r="I27" s="73" t="e">
        <f>+Cashflow!#REF!</f>
        <v>#REF!</v>
      </c>
      <c r="J27" s="73" t="e">
        <f>+Cashflow!#REF!</f>
        <v>#REF!</v>
      </c>
      <c r="K27" s="73" t="e">
        <f>+Cashflow!#REF!</f>
        <v>#REF!</v>
      </c>
      <c r="L27" s="73" t="e">
        <f>+Cashflow!#REF!</f>
        <v>#REF!</v>
      </c>
      <c r="M27" s="73" t="e">
        <f>+Cashflow!#REF!</f>
        <v>#REF!</v>
      </c>
      <c r="N27" s="74" t="e">
        <f>SUM(B27:M27)</f>
        <v>#REF!</v>
      </c>
    </row>
    <row r="28" spans="1:14" ht="12.75" x14ac:dyDescent="0.2">
      <c r="A28" s="31" t="s">
        <v>135</v>
      </c>
      <c r="B28" s="73" t="e">
        <f>+Cashflow!#REF!</f>
        <v>#REF!</v>
      </c>
      <c r="C28" s="73">
        <f>+Cashflow!C14</f>
        <v>0</v>
      </c>
      <c r="D28" s="73">
        <f>+Cashflow!D14</f>
        <v>0</v>
      </c>
      <c r="E28" s="73">
        <f>+Cashflow!E14</f>
        <v>0</v>
      </c>
      <c r="F28" s="73">
        <f>+Cashflow!F14</f>
        <v>0</v>
      </c>
      <c r="G28" s="73">
        <f>+Cashflow!G14</f>
        <v>0</v>
      </c>
      <c r="H28" s="73">
        <f>+Cashflow!H14</f>
        <v>0</v>
      </c>
      <c r="I28" s="73">
        <f>+Cashflow!I14</f>
        <v>0</v>
      </c>
      <c r="J28" s="73">
        <f>+Cashflow!J14</f>
        <v>0</v>
      </c>
      <c r="K28" s="73">
        <f>+Cashflow!K14</f>
        <v>0</v>
      </c>
      <c r="L28" s="73">
        <f>+Cashflow!L14</f>
        <v>0</v>
      </c>
      <c r="M28" s="73">
        <f>+Cashflow!M14</f>
        <v>0</v>
      </c>
      <c r="N28" s="74" t="e">
        <f>SUM(B28:M28)</f>
        <v>#REF!</v>
      </c>
    </row>
    <row r="29" spans="1:14" ht="12.75" x14ac:dyDescent="0.2">
      <c r="A29" s="31" t="s">
        <v>108</v>
      </c>
      <c r="B29" s="73" t="e">
        <f>+Cashflow!#REF!</f>
        <v>#REF!</v>
      </c>
      <c r="C29" s="73">
        <f>+Cashflow!C15</f>
        <v>20</v>
      </c>
      <c r="D29" s="73">
        <f>+Cashflow!D15</f>
        <v>20</v>
      </c>
      <c r="E29" s="73">
        <f>+Cashflow!E15</f>
        <v>20</v>
      </c>
      <c r="F29" s="73">
        <f>+Cashflow!F15</f>
        <v>20</v>
      </c>
      <c r="G29" s="73">
        <f>+Cashflow!G15</f>
        <v>20</v>
      </c>
      <c r="H29" s="73">
        <f>+Cashflow!H15</f>
        <v>20</v>
      </c>
      <c r="I29" s="73">
        <f>+Cashflow!I15</f>
        <v>20</v>
      </c>
      <c r="J29" s="73">
        <f>+Cashflow!J15</f>
        <v>20</v>
      </c>
      <c r="K29" s="73">
        <f>+Cashflow!K15</f>
        <v>20</v>
      </c>
      <c r="L29" s="73">
        <f>+Cashflow!L15</f>
        <v>20</v>
      </c>
      <c r="M29" s="73">
        <f>+Cashflow!M15</f>
        <v>20</v>
      </c>
      <c r="N29" s="74" t="e">
        <f t="shared" si="2"/>
        <v>#REF!</v>
      </c>
    </row>
    <row r="30" spans="1:14" ht="14.1" customHeight="1" x14ac:dyDescent="0.2">
      <c r="A30" s="31" t="s">
        <v>109</v>
      </c>
      <c r="B30" s="73">
        <f>+Cashflow!B16</f>
        <v>0</v>
      </c>
      <c r="C30" s="73">
        <f>+Cashflow!C16</f>
        <v>0</v>
      </c>
      <c r="D30" s="73">
        <f>+Cashflow!D16</f>
        <v>0</v>
      </c>
      <c r="E30" s="73">
        <f ca="1">+Cashflow!E16</f>
        <v>0</v>
      </c>
      <c r="F30" s="73">
        <f ca="1">+Cashflow!F16</f>
        <v>0</v>
      </c>
      <c r="G30" s="73">
        <f ca="1">+Cashflow!G16</f>
        <v>0</v>
      </c>
      <c r="H30" s="73">
        <f ca="1">+Cashflow!H16</f>
        <v>0</v>
      </c>
      <c r="I30" s="73">
        <f ca="1">+Cashflow!I16</f>
        <v>0</v>
      </c>
      <c r="J30" s="73">
        <f ca="1">+Cashflow!J16</f>
        <v>0</v>
      </c>
      <c r="K30" s="73">
        <f ca="1">+Cashflow!K16</f>
        <v>0</v>
      </c>
      <c r="L30" s="73">
        <f ca="1">+Cashflow!L16</f>
        <v>0</v>
      </c>
      <c r="M30" s="73">
        <f ca="1">+Cashflow!M16</f>
        <v>0</v>
      </c>
      <c r="N30" s="77">
        <f t="shared" ca="1" si="2"/>
        <v>0</v>
      </c>
    </row>
    <row r="31" spans="1:14" ht="14.1" customHeight="1" x14ac:dyDescent="0.2">
      <c r="A31" s="31" t="s">
        <v>110</v>
      </c>
      <c r="B31" s="73">
        <f>+Cashflow!B17</f>
        <v>0</v>
      </c>
      <c r="C31" s="73">
        <f>+Cashflow!C17</f>
        <v>20</v>
      </c>
      <c r="D31" s="73">
        <f>+Cashflow!D17</f>
        <v>20</v>
      </c>
      <c r="E31" s="73">
        <f>+Cashflow!E17</f>
        <v>19</v>
      </c>
      <c r="F31" s="73">
        <f>+Cashflow!F17</f>
        <v>18</v>
      </c>
      <c r="G31" s="73">
        <f>+Cashflow!G17</f>
        <v>18</v>
      </c>
      <c r="H31" s="73">
        <f>+Cashflow!H17</f>
        <v>17</v>
      </c>
      <c r="I31" s="73">
        <f>+Cashflow!I17</f>
        <v>17</v>
      </c>
      <c r="J31" s="73">
        <f>+Cashflow!J17</f>
        <v>16</v>
      </c>
      <c r="K31" s="73">
        <f>+Cashflow!K17</f>
        <v>16</v>
      </c>
      <c r="L31" s="73">
        <f>+Cashflow!L17</f>
        <v>15</v>
      </c>
      <c r="M31" s="73">
        <f>+Cashflow!M17</f>
        <v>14</v>
      </c>
      <c r="N31" s="77">
        <f t="shared" si="2"/>
        <v>190</v>
      </c>
    </row>
    <row r="32" spans="1:14" ht="14.1" customHeight="1" x14ac:dyDescent="0.2">
      <c r="A32" s="31" t="s">
        <v>111</v>
      </c>
      <c r="B32" s="73">
        <f>+Cashflow!B18</f>
        <v>0</v>
      </c>
      <c r="C32" s="73">
        <f>+Cashflow!C18</f>
        <v>990</v>
      </c>
      <c r="D32" s="73">
        <f>+Cashflow!D18</f>
        <v>0</v>
      </c>
      <c r="E32" s="73">
        <f>+Cashflow!E18</f>
        <v>0</v>
      </c>
      <c r="F32" s="73">
        <f>+Cashflow!F18</f>
        <v>0</v>
      </c>
      <c r="G32" s="73">
        <f>+Cashflow!G18</f>
        <v>0</v>
      </c>
      <c r="H32" s="73">
        <f>+Cashflow!H18</f>
        <v>0</v>
      </c>
      <c r="I32" s="73">
        <f>+Cashflow!I18</f>
        <v>0</v>
      </c>
      <c r="J32" s="73">
        <f>+Cashflow!J18</f>
        <v>0</v>
      </c>
      <c r="K32" s="73">
        <f>+Cashflow!K18</f>
        <v>0</v>
      </c>
      <c r="L32" s="73">
        <f>+Cashflow!L18</f>
        <v>0</v>
      </c>
      <c r="M32" s="73">
        <f>+Cashflow!M18</f>
        <v>0</v>
      </c>
      <c r="N32" s="74">
        <f t="shared" si="2"/>
        <v>990</v>
      </c>
    </row>
    <row r="33" spans="1:14" ht="14.1" customHeight="1" x14ac:dyDescent="0.2">
      <c r="A33" s="90" t="s">
        <v>113</v>
      </c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5"/>
    </row>
    <row r="34" spans="1:14" ht="14.1" customHeight="1" x14ac:dyDescent="0.2">
      <c r="A34" s="101" t="s">
        <v>117</v>
      </c>
      <c r="B34" s="165" t="e">
        <f>+Cashflow!B20+'VAT Wkgs'!B34</f>
        <v>#REF!</v>
      </c>
      <c r="C34" s="165" t="e">
        <f>+Cashflow!C20+'VAT Wkgs'!C34</f>
        <v>#REF!</v>
      </c>
      <c r="D34" s="165" t="e">
        <f>+Cashflow!D20+'VAT Wkgs'!D34</f>
        <v>#REF!</v>
      </c>
      <c r="E34" s="165" t="e">
        <f>+Cashflow!E20+'VAT Wkgs'!E34</f>
        <v>#REF!</v>
      </c>
      <c r="F34" s="165" t="e">
        <f>+Cashflow!F20+'VAT Wkgs'!F34</f>
        <v>#REF!</v>
      </c>
      <c r="G34" s="165" t="e">
        <f>+Cashflow!G20+'VAT Wkgs'!G34</f>
        <v>#REF!</v>
      </c>
      <c r="H34" s="165" t="e">
        <f>+Cashflow!H20+'VAT Wkgs'!H34</f>
        <v>#REF!</v>
      </c>
      <c r="I34" s="165" t="e">
        <f>+Cashflow!I20+'VAT Wkgs'!I34</f>
        <v>#REF!</v>
      </c>
      <c r="J34" s="165" t="e">
        <f>+Cashflow!J20+'VAT Wkgs'!J34</f>
        <v>#REF!</v>
      </c>
      <c r="K34" s="165" t="e">
        <f>+Cashflow!K20+'VAT Wkgs'!K34</f>
        <v>#REF!</v>
      </c>
      <c r="L34" s="165" t="e">
        <f>+Cashflow!L20+'VAT Wkgs'!L34</f>
        <v>#REF!</v>
      </c>
      <c r="M34" s="165" t="e">
        <f>+Cashflow!M20+'VAT Wkgs'!M34</f>
        <v>#REF!</v>
      </c>
      <c r="N34" s="103" t="e">
        <f>SUM(B34:M34)</f>
        <v>#REF!</v>
      </c>
    </row>
    <row r="35" spans="1:14" ht="14.1" customHeight="1" x14ac:dyDescent="0.2">
      <c r="A35" s="101" t="s">
        <v>114</v>
      </c>
      <c r="B35" s="102">
        <f>+Cashflow!B23</f>
        <v>0</v>
      </c>
      <c r="C35" s="102">
        <f>+Cashflow!C23</f>
        <v>101</v>
      </c>
      <c r="D35" s="102">
        <f>+Cashflow!D23</f>
        <v>102</v>
      </c>
      <c r="E35" s="102">
        <f>+Cashflow!E23</f>
        <v>103</v>
      </c>
      <c r="F35" s="102">
        <f>+Cashflow!F23</f>
        <v>103</v>
      </c>
      <c r="G35" s="102">
        <f>+Cashflow!G23</f>
        <v>104</v>
      </c>
      <c r="H35" s="102">
        <f>+Cashflow!H23</f>
        <v>104</v>
      </c>
      <c r="I35" s="102">
        <f>+Cashflow!I23</f>
        <v>105</v>
      </c>
      <c r="J35" s="102">
        <f>+Cashflow!J23</f>
        <v>105</v>
      </c>
      <c r="K35" s="102">
        <f>+Cashflow!K23</f>
        <v>106</v>
      </c>
      <c r="L35" s="102">
        <f>+Cashflow!L23</f>
        <v>106</v>
      </c>
      <c r="M35" s="102">
        <f>+Cashflow!M23</f>
        <v>107</v>
      </c>
      <c r="N35" s="103">
        <f>SUM(B35:M35)</f>
        <v>1146</v>
      </c>
    </row>
    <row r="36" spans="1:14" ht="14.1" customHeight="1" x14ac:dyDescent="0.2">
      <c r="A36" s="101" t="s">
        <v>115</v>
      </c>
      <c r="B36" s="102">
        <f>+Cashflow!B24</f>
        <v>0</v>
      </c>
      <c r="C36" s="102">
        <f>+Cashflow!C24</f>
        <v>212</v>
      </c>
      <c r="D36" s="102">
        <f>+Cashflow!D24</f>
        <v>0</v>
      </c>
      <c r="E36" s="102">
        <f>+Cashflow!E24</f>
        <v>0</v>
      </c>
      <c r="F36" s="102">
        <f ca="1">+Cashflow!F24</f>
        <v>-162</v>
      </c>
      <c r="G36" s="102">
        <f>+Cashflow!G24</f>
        <v>0</v>
      </c>
      <c r="H36" s="102">
        <f>+Cashflow!H24</f>
        <v>0</v>
      </c>
      <c r="I36" s="102">
        <f ca="1">+Cashflow!I24</f>
        <v>1003</v>
      </c>
      <c r="J36" s="102">
        <f>+Cashflow!J24</f>
        <v>0</v>
      </c>
      <c r="K36" s="102">
        <f>+Cashflow!K24</f>
        <v>0</v>
      </c>
      <c r="L36" s="102">
        <f ca="1">+Cashflow!L24</f>
        <v>1168</v>
      </c>
      <c r="M36" s="102">
        <f>+Cashflow!M24</f>
        <v>0</v>
      </c>
      <c r="N36" s="103">
        <f ca="1">SUM(B36:M36)</f>
        <v>2221</v>
      </c>
    </row>
    <row r="37" spans="1:14" ht="14.1" customHeight="1" x14ac:dyDescent="0.2">
      <c r="A37" s="101" t="s">
        <v>116</v>
      </c>
      <c r="B37" s="102">
        <f>+Cashflow!B25</f>
        <v>0</v>
      </c>
      <c r="C37" s="102">
        <f>+Cashflow!C25</f>
        <v>0</v>
      </c>
      <c r="D37" s="102">
        <f>+Cashflow!D25</f>
        <v>0</v>
      </c>
      <c r="E37" s="102">
        <f>+Cashflow!E25</f>
        <v>0</v>
      </c>
      <c r="F37" s="102">
        <f>+Cashflow!F25</f>
        <v>0</v>
      </c>
      <c r="G37" s="102">
        <f>+Cashflow!G25</f>
        <v>0</v>
      </c>
      <c r="H37" s="102">
        <f>+Cashflow!H25</f>
        <v>0</v>
      </c>
      <c r="I37" s="102">
        <f>+Cashflow!I25</f>
        <v>0</v>
      </c>
      <c r="J37" s="102">
        <f>+Cashflow!J25</f>
        <v>519</v>
      </c>
      <c r="K37" s="102">
        <f>+Cashflow!K25</f>
        <v>0</v>
      </c>
      <c r="L37" s="102">
        <f>+Cashflow!L25</f>
        <v>0</v>
      </c>
      <c r="M37" s="102">
        <f>+Cashflow!M25</f>
        <v>0</v>
      </c>
      <c r="N37" s="103">
        <f>SUM(B37:M37)</f>
        <v>519</v>
      </c>
    </row>
    <row r="38" spans="1:14" ht="14.1" customHeight="1" thickBot="1" x14ac:dyDescent="0.25">
      <c r="A38" s="13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5"/>
    </row>
    <row r="39" spans="1:14" s="1" customFormat="1" ht="14.1" customHeight="1" thickBot="1" x14ac:dyDescent="0.25">
      <c r="A39" s="38" t="s">
        <v>67</v>
      </c>
      <c r="B39" s="52" t="e">
        <f t="shared" ref="B39:N39" si="3">SUM(B9:B38)</f>
        <v>#REF!</v>
      </c>
      <c r="C39" s="52" t="e">
        <f t="shared" si="3"/>
        <v>#REF!</v>
      </c>
      <c r="D39" s="52" t="e">
        <f t="shared" ca="1" si="3"/>
        <v>#REF!</v>
      </c>
      <c r="E39" s="52" t="e">
        <f t="shared" ca="1" si="3"/>
        <v>#REF!</v>
      </c>
      <c r="F39" s="52" t="e">
        <f t="shared" ca="1" si="3"/>
        <v>#REF!</v>
      </c>
      <c r="G39" s="52" t="e">
        <f t="shared" ca="1" si="3"/>
        <v>#REF!</v>
      </c>
      <c r="H39" s="52" t="e">
        <f t="shared" ca="1" si="3"/>
        <v>#REF!</v>
      </c>
      <c r="I39" s="52" t="e">
        <f t="shared" ca="1" si="3"/>
        <v>#REF!</v>
      </c>
      <c r="J39" s="52" t="e">
        <f t="shared" ca="1" si="3"/>
        <v>#REF!</v>
      </c>
      <c r="K39" s="52" t="e">
        <f t="shared" ca="1" si="3"/>
        <v>#REF!</v>
      </c>
      <c r="L39" s="52" t="e">
        <f t="shared" ca="1" si="3"/>
        <v>#REF!</v>
      </c>
      <c r="M39" s="52" t="e">
        <f t="shared" ca="1" si="3"/>
        <v>#REF!</v>
      </c>
      <c r="N39" s="53" t="e">
        <f t="shared" ca="1" si="3"/>
        <v>#REF!</v>
      </c>
    </row>
    <row r="40" spans="1:14" ht="14.1" customHeight="1" thickBot="1" x14ac:dyDescent="0.25">
      <c r="A40" s="13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5"/>
    </row>
    <row r="41" spans="1:14" s="1" customFormat="1" ht="14.1" customHeight="1" thickBot="1" x14ac:dyDescent="0.25">
      <c r="A41" s="38" t="s">
        <v>69</v>
      </c>
      <c r="B41" s="52" t="e">
        <f t="shared" ref="B41:N41" si="4">+B7-B39</f>
        <v>#REF!</v>
      </c>
      <c r="C41" s="52" t="e">
        <f t="shared" si="4"/>
        <v>#REF!</v>
      </c>
      <c r="D41" s="52" t="e">
        <f t="shared" ca="1" si="4"/>
        <v>#REF!</v>
      </c>
      <c r="E41" s="52" t="e">
        <f t="shared" ca="1" si="4"/>
        <v>#REF!</v>
      </c>
      <c r="F41" s="52" t="e">
        <f t="shared" ca="1" si="4"/>
        <v>#REF!</v>
      </c>
      <c r="G41" s="52" t="e">
        <f t="shared" ca="1" si="4"/>
        <v>#REF!</v>
      </c>
      <c r="H41" s="52" t="e">
        <f t="shared" ca="1" si="4"/>
        <v>#REF!</v>
      </c>
      <c r="I41" s="52" t="e">
        <f t="shared" ca="1" si="4"/>
        <v>#REF!</v>
      </c>
      <c r="J41" s="52" t="e">
        <f t="shared" ca="1" si="4"/>
        <v>#REF!</v>
      </c>
      <c r="K41" s="52" t="e">
        <f t="shared" ca="1" si="4"/>
        <v>#REF!</v>
      </c>
      <c r="L41" s="52" t="e">
        <f t="shared" ca="1" si="4"/>
        <v>#REF!</v>
      </c>
      <c r="M41" s="52" t="e">
        <f t="shared" ca="1" si="4"/>
        <v>#REF!</v>
      </c>
      <c r="N41" s="53" t="e">
        <f t="shared" ca="1" si="4"/>
        <v>#REF!</v>
      </c>
    </row>
    <row r="42" spans="1:14" s="1" customFormat="1" ht="14.1" customHeight="1" x14ac:dyDescent="0.2">
      <c r="A42" s="20"/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70"/>
    </row>
    <row r="43" spans="1:14" s="1" customFormat="1" ht="14.1" customHeight="1" x14ac:dyDescent="0.2">
      <c r="A43" s="66" t="s">
        <v>91</v>
      </c>
      <c r="B43" s="67">
        <f>+'BS Detl'!B11</f>
        <v>4166</v>
      </c>
      <c r="C43" s="67" t="e">
        <f t="shared" ref="C43:M43" si="5">+B45</f>
        <v>#REF!</v>
      </c>
      <c r="D43" s="67" t="e">
        <f t="shared" si="5"/>
        <v>#REF!</v>
      </c>
      <c r="E43" s="67" t="e">
        <f t="shared" ca="1" si="5"/>
        <v>#REF!</v>
      </c>
      <c r="F43" s="67" t="e">
        <f t="shared" ca="1" si="5"/>
        <v>#REF!</v>
      </c>
      <c r="G43" s="67" t="e">
        <f t="shared" ca="1" si="5"/>
        <v>#REF!</v>
      </c>
      <c r="H43" s="67" t="e">
        <f t="shared" ca="1" si="5"/>
        <v>#REF!</v>
      </c>
      <c r="I43" s="67" t="e">
        <f t="shared" ca="1" si="5"/>
        <v>#REF!</v>
      </c>
      <c r="J43" s="67" t="e">
        <f t="shared" ca="1" si="5"/>
        <v>#REF!</v>
      </c>
      <c r="K43" s="67" t="e">
        <f t="shared" ca="1" si="5"/>
        <v>#REF!</v>
      </c>
      <c r="L43" s="67" t="e">
        <f t="shared" ca="1" si="5"/>
        <v>#REF!</v>
      </c>
      <c r="M43" s="67" t="e">
        <f t="shared" ca="1" si="5"/>
        <v>#REF!</v>
      </c>
      <c r="N43" s="68"/>
    </row>
    <row r="44" spans="1:14" s="1" customFormat="1" ht="14.1" customHeight="1" x14ac:dyDescent="0.2">
      <c r="A44" s="66"/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8"/>
    </row>
    <row r="45" spans="1:14" s="1" customFormat="1" ht="14.1" customHeight="1" x14ac:dyDescent="0.2">
      <c r="A45" s="66" t="s">
        <v>92</v>
      </c>
      <c r="B45" s="67" t="e">
        <f>+B43+B41</f>
        <v>#REF!</v>
      </c>
      <c r="C45" s="67" t="e">
        <f>+C43+C41</f>
        <v>#REF!</v>
      </c>
      <c r="D45" s="67" t="e">
        <f ca="1">+D43+D41</f>
        <v>#REF!</v>
      </c>
      <c r="E45" s="67" t="e">
        <f t="shared" ref="E45:M45" ca="1" si="6">+E43+E41</f>
        <v>#REF!</v>
      </c>
      <c r="F45" s="67" t="e">
        <f t="shared" ca="1" si="6"/>
        <v>#REF!</v>
      </c>
      <c r="G45" s="67" t="e">
        <f t="shared" ca="1" si="6"/>
        <v>#REF!</v>
      </c>
      <c r="H45" s="67" t="e">
        <f t="shared" ca="1" si="6"/>
        <v>#REF!</v>
      </c>
      <c r="I45" s="67" t="e">
        <f t="shared" ca="1" si="6"/>
        <v>#REF!</v>
      </c>
      <c r="J45" s="67" t="e">
        <f t="shared" ca="1" si="6"/>
        <v>#REF!</v>
      </c>
      <c r="K45" s="67" t="e">
        <f t="shared" ca="1" si="6"/>
        <v>#REF!</v>
      </c>
      <c r="L45" s="67" t="e">
        <f t="shared" ca="1" si="6"/>
        <v>#REF!</v>
      </c>
      <c r="M45" s="67" t="e">
        <f t="shared" ca="1" si="6"/>
        <v>#REF!</v>
      </c>
      <c r="N45" s="68"/>
    </row>
    <row r="46" spans="1:14" s="44" customFormat="1" ht="14.1" customHeight="1" thickBot="1" x14ac:dyDescent="0.25">
      <c r="A46" s="41" t="s">
        <v>38</v>
      </c>
      <c r="B46" s="42" t="e">
        <f>+B41</f>
        <v>#REF!</v>
      </c>
      <c r="C46" s="42" t="e">
        <f t="shared" ref="C46:M46" si="7">+B46+C41</f>
        <v>#REF!</v>
      </c>
      <c r="D46" s="42" t="e">
        <f t="shared" ca="1" si="7"/>
        <v>#REF!</v>
      </c>
      <c r="E46" s="42" t="e">
        <f t="shared" ca="1" si="7"/>
        <v>#REF!</v>
      </c>
      <c r="F46" s="42" t="e">
        <f t="shared" ca="1" si="7"/>
        <v>#REF!</v>
      </c>
      <c r="G46" s="42" t="e">
        <f t="shared" ca="1" si="7"/>
        <v>#REF!</v>
      </c>
      <c r="H46" s="42" t="e">
        <f t="shared" ca="1" si="7"/>
        <v>#REF!</v>
      </c>
      <c r="I46" s="42" t="e">
        <f t="shared" ca="1" si="7"/>
        <v>#REF!</v>
      </c>
      <c r="J46" s="42" t="e">
        <f t="shared" ca="1" si="7"/>
        <v>#REF!</v>
      </c>
      <c r="K46" s="42" t="e">
        <f t="shared" ca="1" si="7"/>
        <v>#REF!</v>
      </c>
      <c r="L46" s="42" t="e">
        <f t="shared" ca="1" si="7"/>
        <v>#REF!</v>
      </c>
      <c r="M46" s="42" t="e">
        <f t="shared" ca="1" si="7"/>
        <v>#REF!</v>
      </c>
      <c r="N46" s="43"/>
    </row>
    <row r="47" spans="1:14" ht="14.1" customHeight="1" thickTop="1" x14ac:dyDescent="0.2"/>
    <row r="48" spans="1:14" ht="14.1" customHeight="1" x14ac:dyDescent="0.2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</row>
  </sheetData>
  <phoneticPr fontId="7" type="noConversion"/>
  <pageMargins left="0.75" right="0.75" top="1" bottom="1" header="0.5" footer="0.5"/>
  <pageSetup paperSize="9" scale="73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35"/>
  <sheetViews>
    <sheetView showGridLines="0" topLeftCell="A4" workbookViewId="0">
      <selection activeCell="B12" sqref="B12"/>
    </sheetView>
  </sheetViews>
  <sheetFormatPr defaultRowHeight="14.1" customHeight="1" x14ac:dyDescent="0.2"/>
  <cols>
    <col min="1" max="1" width="29.85546875" customWidth="1"/>
    <col min="2" max="2" width="11.28515625" customWidth="1"/>
    <col min="3" max="3" width="11.42578125" customWidth="1"/>
    <col min="4" max="4" width="10.85546875" customWidth="1"/>
    <col min="5" max="5" width="10.7109375" customWidth="1"/>
    <col min="13" max="13" width="10.140625" customWidth="1"/>
    <col min="14" max="14" width="11" style="1" customWidth="1"/>
  </cols>
  <sheetData>
    <row r="1" spans="1:14" s="3" customFormat="1" ht="24" customHeight="1" x14ac:dyDescent="0.25">
      <c r="A1" s="3" t="str">
        <f>CONCATENATE(Cover!C3," ","Cash Flow Forecast")</f>
        <v>Novelty PCs Ltd Cash Flow Forecast</v>
      </c>
      <c r="H1" s="156"/>
      <c r="I1" s="131"/>
      <c r="J1" s="156"/>
    </row>
    <row r="2" spans="1:14" ht="14.1" customHeight="1" thickBot="1" x14ac:dyDescent="0.25"/>
    <row r="3" spans="1:14" ht="14.1" customHeight="1" thickTop="1" x14ac:dyDescent="0.2">
      <c r="A3" s="10"/>
      <c r="B3" s="11">
        <f>+cashflowGross!B3</f>
        <v>45307</v>
      </c>
      <c r="C3" s="11">
        <f>+cashflowGross!C3</f>
        <v>45337</v>
      </c>
      <c r="D3" s="11">
        <f>+cashflowGross!D3</f>
        <v>45367</v>
      </c>
      <c r="E3" s="11">
        <f>+cashflowGross!E3</f>
        <v>45397</v>
      </c>
      <c r="F3" s="11">
        <f>+cashflowGross!F3</f>
        <v>45427</v>
      </c>
      <c r="G3" s="11">
        <f>+cashflowGross!G3</f>
        <v>45457</v>
      </c>
      <c r="H3" s="11">
        <f>+cashflowGross!H3</f>
        <v>45487</v>
      </c>
      <c r="I3" s="11">
        <f>+cashflowGross!I3</f>
        <v>45517</v>
      </c>
      <c r="J3" s="11">
        <f>+cashflowGross!J3</f>
        <v>45547</v>
      </c>
      <c r="K3" s="11">
        <f>+cashflowGross!K3</f>
        <v>45577</v>
      </c>
      <c r="L3" s="11">
        <f>+cashflowGross!L3</f>
        <v>45607</v>
      </c>
      <c r="M3" s="11">
        <f>+cashflowGross!M3</f>
        <v>45637</v>
      </c>
      <c r="N3" s="12" t="s">
        <v>3</v>
      </c>
    </row>
    <row r="4" spans="1:14" ht="14.1" customHeight="1" x14ac:dyDescent="0.2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5"/>
    </row>
    <row r="5" spans="1:14" ht="14.1" customHeight="1" x14ac:dyDescent="0.2">
      <c r="A5" s="13" t="s">
        <v>13</v>
      </c>
      <c r="B5" s="51">
        <f>+Controls!C17</f>
        <v>160</v>
      </c>
      <c r="C5" s="51">
        <f>+Controls!D17</f>
        <v>4800</v>
      </c>
      <c r="D5" s="51">
        <f ca="1">+Controls!E17</f>
        <v>3600</v>
      </c>
      <c r="E5" s="51">
        <f ca="1">+Controls!F17</f>
        <v>3780</v>
      </c>
      <c r="F5" s="51">
        <f ca="1">+Controls!G17</f>
        <v>4140</v>
      </c>
      <c r="G5" s="51">
        <f ca="1">+Controls!H17</f>
        <v>4200</v>
      </c>
      <c r="H5" s="51">
        <f ca="1">+Controls!I17</f>
        <v>4380</v>
      </c>
      <c r="I5" s="51">
        <f ca="1">+Controls!J17</f>
        <v>4740</v>
      </c>
      <c r="J5" s="51">
        <f ca="1">+Controls!K17</f>
        <v>4800</v>
      </c>
      <c r="K5" s="51">
        <f ca="1">+Controls!L17</f>
        <v>4980</v>
      </c>
      <c r="L5" s="51">
        <f ca="1">+Controls!M17</f>
        <v>5340</v>
      </c>
      <c r="M5" s="51">
        <f ca="1">+Controls!N17</f>
        <v>5400</v>
      </c>
      <c r="N5" s="16">
        <f ca="1">SUM(B5:M5)</f>
        <v>50320</v>
      </c>
    </row>
    <row r="6" spans="1:14" ht="14.1" customHeight="1" x14ac:dyDescent="0.2">
      <c r="A6" s="13" t="s">
        <v>196</v>
      </c>
      <c r="B6" s="51">
        <f>MthlyHP!D7</f>
        <v>0</v>
      </c>
      <c r="C6" s="51">
        <f>MthlyHP!E7</f>
        <v>4000</v>
      </c>
      <c r="D6" s="51">
        <f>MthlyHP!F7</f>
        <v>0</v>
      </c>
      <c r="E6" s="51">
        <f>MthlyHP!G7</f>
        <v>0</v>
      </c>
      <c r="F6" s="51">
        <f>MthlyHP!H7</f>
        <v>0</v>
      </c>
      <c r="G6" s="51">
        <f>MthlyHP!I7</f>
        <v>0</v>
      </c>
      <c r="H6" s="51">
        <f>MthlyHP!J7</f>
        <v>0</v>
      </c>
      <c r="I6" s="51">
        <f>MthlyHP!K7</f>
        <v>0</v>
      </c>
      <c r="J6" s="51">
        <f>MthlyHP!L7</f>
        <v>0</v>
      </c>
      <c r="K6" s="51">
        <f>MthlyHP!M7</f>
        <v>0</v>
      </c>
      <c r="L6" s="51">
        <f>MthlyHP!N7</f>
        <v>0</v>
      </c>
      <c r="M6" s="51">
        <f>MthlyHP!O7</f>
        <v>0</v>
      </c>
      <c r="N6" s="16">
        <f>SUM(B6:M6)</f>
        <v>4000</v>
      </c>
    </row>
    <row r="7" spans="1:14" ht="14.1" customHeight="1" thickBot="1" x14ac:dyDescent="0.25">
      <c r="A7" s="13" t="s">
        <v>193</v>
      </c>
      <c r="B7" s="51">
        <f>-MthlyCapex!C10</f>
        <v>0</v>
      </c>
      <c r="C7" s="51">
        <f>-MthlyCapex!D10</f>
        <v>0</v>
      </c>
      <c r="D7" s="51">
        <f>-MthlyCapex!E10</f>
        <v>0</v>
      </c>
      <c r="E7" s="51">
        <f>-MthlyCapex!F10</f>
        <v>0</v>
      </c>
      <c r="F7" s="51">
        <f>-MthlyCapex!G10</f>
        <v>0</v>
      </c>
      <c r="G7" s="51">
        <f>-MthlyCapex!H10</f>
        <v>0</v>
      </c>
      <c r="H7" s="51">
        <f>-MthlyCapex!I10</f>
        <v>0</v>
      </c>
      <c r="I7" s="51">
        <f>-MthlyCapex!J10</f>
        <v>0</v>
      </c>
      <c r="J7" s="51">
        <f>-MthlyCapex!K10</f>
        <v>0</v>
      </c>
      <c r="K7" s="51">
        <f>-MthlyCapex!L10</f>
        <v>0</v>
      </c>
      <c r="L7" s="51">
        <f>-MthlyCapex!M10</f>
        <v>0</v>
      </c>
      <c r="M7" s="51">
        <f>-MthlyCapex!N10</f>
        <v>0</v>
      </c>
      <c r="N7" s="16">
        <f>SUM(B7:M7)</f>
        <v>0</v>
      </c>
    </row>
    <row r="8" spans="1:14" s="1" customFormat="1" ht="14.1" customHeight="1" thickBot="1" x14ac:dyDescent="0.25">
      <c r="A8" s="17" t="s">
        <v>15</v>
      </c>
      <c r="B8" s="18">
        <f t="shared" ref="B8:M8" si="0">SUM(B5:B7)</f>
        <v>160</v>
      </c>
      <c r="C8" s="18">
        <f t="shared" si="0"/>
        <v>8800</v>
      </c>
      <c r="D8" s="18">
        <f t="shared" ca="1" si="0"/>
        <v>3600</v>
      </c>
      <c r="E8" s="18">
        <f t="shared" ca="1" si="0"/>
        <v>3780</v>
      </c>
      <c r="F8" s="18">
        <f t="shared" ca="1" si="0"/>
        <v>4140</v>
      </c>
      <c r="G8" s="18">
        <f t="shared" ca="1" si="0"/>
        <v>4200</v>
      </c>
      <c r="H8" s="18">
        <f t="shared" ca="1" si="0"/>
        <v>4380</v>
      </c>
      <c r="I8" s="18">
        <f t="shared" ca="1" si="0"/>
        <v>4740</v>
      </c>
      <c r="J8" s="18">
        <f t="shared" ca="1" si="0"/>
        <v>4800</v>
      </c>
      <c r="K8" s="18">
        <f t="shared" ca="1" si="0"/>
        <v>4980</v>
      </c>
      <c r="L8" s="18">
        <f t="shared" ca="1" si="0"/>
        <v>5340</v>
      </c>
      <c r="M8" s="18">
        <f t="shared" ca="1" si="0"/>
        <v>5400</v>
      </c>
      <c r="N8" s="19">
        <f ca="1">SUM(B8:M8)</f>
        <v>54320</v>
      </c>
    </row>
    <row r="9" spans="1:14" ht="14.1" customHeight="1" x14ac:dyDescent="0.2">
      <c r="A9" s="76" t="s">
        <v>93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2"/>
    </row>
    <row r="10" spans="1:14" s="1" customFormat="1" ht="14.1" customHeight="1" x14ac:dyDescent="0.2">
      <c r="A10" s="71" t="s">
        <v>238</v>
      </c>
      <c r="B10" s="61">
        <f>+Controls!C33</f>
        <v>849</v>
      </c>
      <c r="C10" s="61">
        <f>+Controls!D33</f>
        <v>2700</v>
      </c>
      <c r="D10" s="61">
        <f ca="1">+Controls!E33</f>
        <v>2230</v>
      </c>
      <c r="E10" s="61">
        <f ca="1">+Controls!F33</f>
        <v>2234</v>
      </c>
      <c r="F10" s="61">
        <f ca="1">+Controls!G33</f>
        <v>2262</v>
      </c>
      <c r="G10" s="61">
        <f ca="1">+Controls!H33</f>
        <v>2500</v>
      </c>
      <c r="H10" s="61">
        <f ca="1">+Controls!I33</f>
        <v>2504</v>
      </c>
      <c r="I10" s="61">
        <f ca="1">+Controls!J33</f>
        <v>2532</v>
      </c>
      <c r="J10" s="61">
        <f ca="1">+Controls!K33</f>
        <v>2770</v>
      </c>
      <c r="K10" s="61">
        <f ca="1">+Controls!L33</f>
        <v>2774</v>
      </c>
      <c r="L10" s="61">
        <f ca="1">+Controls!M33</f>
        <v>2802</v>
      </c>
      <c r="M10" s="61">
        <f ca="1">+Controls!N33</f>
        <v>3040</v>
      </c>
      <c r="N10" s="62">
        <f ca="1">SUM(B10:M10)</f>
        <v>29197</v>
      </c>
    </row>
    <row r="11" spans="1:14" ht="14.1" customHeight="1" x14ac:dyDescent="0.2">
      <c r="A11" s="169" t="s">
        <v>112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91"/>
    </row>
    <row r="12" spans="1:14" ht="14.1" customHeight="1" x14ac:dyDescent="0.2">
      <c r="A12" s="288" t="s">
        <v>229</v>
      </c>
      <c r="B12" s="84">
        <f>+'P&amp;L Detl'!F11+'P&amp;L Detl'!F19-Controls!C56</f>
        <v>367</v>
      </c>
      <c r="C12" s="84">
        <f>+'P&amp;L Detl'!G11+'P&amp;L Detl'!G19-Controls!D56</f>
        <v>367</v>
      </c>
      <c r="D12" s="84">
        <f>+'P&amp;L Detl'!H11+'P&amp;L Detl'!H19-Controls!E56</f>
        <v>367</v>
      </c>
      <c r="E12" s="84">
        <f>+'P&amp;L Detl'!I11+'P&amp;L Detl'!I19-Controls!F56</f>
        <v>385</v>
      </c>
      <c r="F12" s="84">
        <f>+'P&amp;L Detl'!J11+'P&amp;L Detl'!J19-Controls!G56</f>
        <v>385</v>
      </c>
      <c r="G12" s="84">
        <f>+'P&amp;L Detl'!K11+'P&amp;L Detl'!K19-Controls!H56</f>
        <v>385</v>
      </c>
      <c r="H12" s="84">
        <f>+'P&amp;L Detl'!L11+'P&amp;L Detl'!L19-Controls!I56</f>
        <v>402</v>
      </c>
      <c r="I12" s="84">
        <f>+'P&amp;L Detl'!M11+'P&amp;L Detl'!M19-Controls!J56</f>
        <v>402</v>
      </c>
      <c r="J12" s="84">
        <f>+'P&amp;L Detl'!N11+'P&amp;L Detl'!N19-Controls!K56</f>
        <v>402</v>
      </c>
      <c r="K12" s="84">
        <f>+'P&amp;L Detl'!O11+'P&amp;L Detl'!O19-Controls!L56</f>
        <v>420</v>
      </c>
      <c r="L12" s="84">
        <f>+'P&amp;L Detl'!P11+'P&amp;L Detl'!P19-Controls!M56</f>
        <v>420</v>
      </c>
      <c r="M12" s="84">
        <f>+'P&amp;L Detl'!Q11+'P&amp;L Detl'!Q19-Controls!N56</f>
        <v>420</v>
      </c>
      <c r="N12" s="91">
        <f t="shared" ref="N12:N18" si="1">SUM(B12:M12)</f>
        <v>4722</v>
      </c>
    </row>
    <row r="13" spans="1:14" ht="14.1" customHeight="1" x14ac:dyDescent="0.2">
      <c r="A13" s="83" t="s">
        <v>128</v>
      </c>
      <c r="B13" s="84">
        <f>Controls!C58</f>
        <v>150</v>
      </c>
      <c r="C13" s="84">
        <f>Controls!D58</f>
        <v>158</v>
      </c>
      <c r="D13" s="84">
        <f>Controls!E58</f>
        <v>158</v>
      </c>
      <c r="E13" s="84">
        <f>Controls!F58</f>
        <v>158</v>
      </c>
      <c r="F13" s="84">
        <f>Controls!G58</f>
        <v>165</v>
      </c>
      <c r="G13" s="84">
        <f>Controls!H58</f>
        <v>165</v>
      </c>
      <c r="H13" s="84">
        <f>Controls!I58</f>
        <v>165</v>
      </c>
      <c r="I13" s="84">
        <f>Controls!J58</f>
        <v>173</v>
      </c>
      <c r="J13" s="84">
        <f>Controls!K58</f>
        <v>173</v>
      </c>
      <c r="K13" s="84">
        <f>Controls!L58</f>
        <v>173</v>
      </c>
      <c r="L13" s="84">
        <f>Controls!M58</f>
        <v>180</v>
      </c>
      <c r="M13" s="84">
        <f>Controls!N58</f>
        <v>180</v>
      </c>
      <c r="N13" s="91">
        <f t="shared" si="1"/>
        <v>1998</v>
      </c>
    </row>
    <row r="14" spans="1:14" ht="14.1" customHeight="1" x14ac:dyDescent="0.2">
      <c r="A14" s="83" t="s">
        <v>135</v>
      </c>
      <c r="B14" s="84">
        <f>+'P&amp;L Detl'!D21</f>
        <v>0</v>
      </c>
      <c r="C14" s="84">
        <f>+'P&amp;L Detl'!E21</f>
        <v>0</v>
      </c>
      <c r="D14" s="84">
        <f>+'P&amp;L Detl'!F21</f>
        <v>0</v>
      </c>
      <c r="E14" s="84">
        <f>+'P&amp;L Detl'!G21</f>
        <v>0</v>
      </c>
      <c r="F14" s="84">
        <f>+'P&amp;L Detl'!H21</f>
        <v>0</v>
      </c>
      <c r="G14" s="84">
        <f>+'P&amp;L Detl'!I21</f>
        <v>0</v>
      </c>
      <c r="H14" s="84">
        <f>+'P&amp;L Detl'!J21</f>
        <v>0</v>
      </c>
      <c r="I14" s="84">
        <f>+'P&amp;L Detl'!K21</f>
        <v>0</v>
      </c>
      <c r="J14" s="84">
        <f>+'P&amp;L Detl'!L21</f>
        <v>0</v>
      </c>
      <c r="K14" s="84">
        <f>+'P&amp;L Detl'!M21</f>
        <v>0</v>
      </c>
      <c r="L14" s="84">
        <f>+'P&amp;L Detl'!N21</f>
        <v>0</v>
      </c>
      <c r="M14" s="84">
        <f>+'P&amp;L Detl'!O21</f>
        <v>0</v>
      </c>
      <c r="N14" s="91">
        <f>SUM(B14:M14)</f>
        <v>0</v>
      </c>
    </row>
    <row r="15" spans="1:14" ht="14.1" customHeight="1" x14ac:dyDescent="0.2">
      <c r="A15" s="83" t="s">
        <v>108</v>
      </c>
      <c r="B15" s="84">
        <f>'P&amp;L Detl'!D22</f>
        <v>20</v>
      </c>
      <c r="C15" s="84">
        <f>'P&amp;L Detl'!E22</f>
        <v>20</v>
      </c>
      <c r="D15" s="84">
        <f>'P&amp;L Detl'!F22</f>
        <v>20</v>
      </c>
      <c r="E15" s="84">
        <f>'P&amp;L Detl'!G22</f>
        <v>20</v>
      </c>
      <c r="F15" s="84">
        <f>'P&amp;L Detl'!H22</f>
        <v>20</v>
      </c>
      <c r="G15" s="84">
        <f>'P&amp;L Detl'!I22</f>
        <v>20</v>
      </c>
      <c r="H15" s="84">
        <f>'P&amp;L Detl'!J22</f>
        <v>20</v>
      </c>
      <c r="I15" s="84">
        <f>'P&amp;L Detl'!K22</f>
        <v>20</v>
      </c>
      <c r="J15" s="84">
        <f>'P&amp;L Detl'!L22</f>
        <v>20</v>
      </c>
      <c r="K15" s="84">
        <f>'P&amp;L Detl'!M22</f>
        <v>20</v>
      </c>
      <c r="L15" s="84">
        <f>'P&amp;L Detl'!N22</f>
        <v>20</v>
      </c>
      <c r="M15" s="84">
        <f>'P&amp;L Detl'!O22</f>
        <v>20</v>
      </c>
      <c r="N15" s="91">
        <f>SUM(B15:M15)</f>
        <v>240</v>
      </c>
    </row>
    <row r="16" spans="1:14" ht="14.1" customHeight="1" x14ac:dyDescent="0.2">
      <c r="A16" s="83" t="s">
        <v>109</v>
      </c>
      <c r="B16" s="84">
        <f>-'P&amp;L Detl'!F58-'P&amp;L Detl'!F57</f>
        <v>0</v>
      </c>
      <c r="C16" s="84">
        <f>-'P&amp;L Detl'!G58-'P&amp;L Detl'!G57</f>
        <v>0</v>
      </c>
      <c r="D16" s="84">
        <f>-'P&amp;L Detl'!H58-'P&amp;L Detl'!H57</f>
        <v>0</v>
      </c>
      <c r="E16" s="84">
        <f ca="1">-'P&amp;L Detl'!I58-'P&amp;L Detl'!I57</f>
        <v>0</v>
      </c>
      <c r="F16" s="84">
        <f ca="1">-'P&amp;L Detl'!J58-'P&amp;L Detl'!J57</f>
        <v>0</v>
      </c>
      <c r="G16" s="84">
        <f ca="1">-'P&amp;L Detl'!K58-'P&amp;L Detl'!K57</f>
        <v>0</v>
      </c>
      <c r="H16" s="84">
        <f ca="1">-'P&amp;L Detl'!L58-'P&amp;L Detl'!L57</f>
        <v>0</v>
      </c>
      <c r="I16" s="84">
        <f ca="1">-'P&amp;L Detl'!M58-'P&amp;L Detl'!M57</f>
        <v>0</v>
      </c>
      <c r="J16" s="84">
        <f ca="1">-'P&amp;L Detl'!N58-'P&amp;L Detl'!N57</f>
        <v>0</v>
      </c>
      <c r="K16" s="84">
        <f ca="1">-'P&amp;L Detl'!O58-'P&amp;L Detl'!O57</f>
        <v>0</v>
      </c>
      <c r="L16" s="84">
        <f ca="1">-'P&amp;L Detl'!P58-'P&amp;L Detl'!P57</f>
        <v>0</v>
      </c>
      <c r="M16" s="84">
        <f ca="1">-'P&amp;L Detl'!Q58-'P&amp;L Detl'!Q57</f>
        <v>0</v>
      </c>
      <c r="N16" s="91">
        <f t="shared" ca="1" si="1"/>
        <v>0</v>
      </c>
    </row>
    <row r="17" spans="1:14" ht="14.1" customHeight="1" x14ac:dyDescent="0.2">
      <c r="A17" s="83" t="s">
        <v>110</v>
      </c>
      <c r="B17" s="84">
        <f>-'P&amp;L Detl'!F59</f>
        <v>0</v>
      </c>
      <c r="C17" s="84">
        <f>-'P&amp;L Detl'!G59</f>
        <v>20</v>
      </c>
      <c r="D17" s="84">
        <f>-'P&amp;L Detl'!H59</f>
        <v>20</v>
      </c>
      <c r="E17" s="84">
        <f>-'P&amp;L Detl'!I59</f>
        <v>19</v>
      </c>
      <c r="F17" s="84">
        <f>-'P&amp;L Detl'!J59</f>
        <v>18</v>
      </c>
      <c r="G17" s="84">
        <f>-'P&amp;L Detl'!K59</f>
        <v>18</v>
      </c>
      <c r="H17" s="84">
        <f>-'P&amp;L Detl'!L59</f>
        <v>17</v>
      </c>
      <c r="I17" s="84">
        <f>-'P&amp;L Detl'!M59</f>
        <v>17</v>
      </c>
      <c r="J17" s="84">
        <f>-'P&amp;L Detl'!N59</f>
        <v>16</v>
      </c>
      <c r="K17" s="84">
        <f>-'P&amp;L Detl'!O59</f>
        <v>16</v>
      </c>
      <c r="L17" s="84">
        <f>-'P&amp;L Detl'!P59</f>
        <v>15</v>
      </c>
      <c r="M17" s="84">
        <f>-'P&amp;L Detl'!Q59</f>
        <v>14</v>
      </c>
      <c r="N17" s="91">
        <f t="shared" si="1"/>
        <v>190</v>
      </c>
    </row>
    <row r="18" spans="1:14" ht="14.1" customHeight="1" x14ac:dyDescent="0.2">
      <c r="A18" s="83" t="s">
        <v>111</v>
      </c>
      <c r="B18" s="84">
        <f>Controls!C69</f>
        <v>0</v>
      </c>
      <c r="C18" s="84">
        <f>Controls!D69</f>
        <v>990</v>
      </c>
      <c r="D18" s="84">
        <f>Controls!E69</f>
        <v>0</v>
      </c>
      <c r="E18" s="84">
        <f>Controls!F69</f>
        <v>0</v>
      </c>
      <c r="F18" s="84">
        <f>Controls!G69</f>
        <v>0</v>
      </c>
      <c r="G18" s="84">
        <f>Controls!H69</f>
        <v>0</v>
      </c>
      <c r="H18" s="84">
        <f>Controls!I69</f>
        <v>0</v>
      </c>
      <c r="I18" s="84">
        <f>Controls!J69</f>
        <v>0</v>
      </c>
      <c r="J18" s="84">
        <f>Controls!K69</f>
        <v>0</v>
      </c>
      <c r="K18" s="84">
        <f>Controls!L69</f>
        <v>0</v>
      </c>
      <c r="L18" s="84">
        <f>Controls!M69</f>
        <v>0</v>
      </c>
      <c r="M18" s="84">
        <f>Controls!N69</f>
        <v>0</v>
      </c>
      <c r="N18" s="91">
        <f t="shared" si="1"/>
        <v>990</v>
      </c>
    </row>
    <row r="19" spans="1:14" ht="14.1" customHeight="1" x14ac:dyDescent="0.2">
      <c r="A19" s="75" t="s">
        <v>186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182"/>
    </row>
    <row r="20" spans="1:14" ht="14.1" customHeight="1" x14ac:dyDescent="0.2">
      <c r="A20" s="31" t="s">
        <v>117</v>
      </c>
      <c r="B20" s="73">
        <f>+MthlyCapex!C13*1.2</f>
        <v>0</v>
      </c>
      <c r="C20" s="73">
        <f>+MthlyCapex!D13*1.2</f>
        <v>6000</v>
      </c>
      <c r="D20" s="73">
        <f>+MthlyCapex!E13*1.2</f>
        <v>0</v>
      </c>
      <c r="E20" s="73">
        <f>+MthlyCapex!F13*1.2</f>
        <v>0</v>
      </c>
      <c r="F20" s="73">
        <f>+MthlyCapex!G13*1.2</f>
        <v>0</v>
      </c>
      <c r="G20" s="73">
        <f>+MthlyCapex!H13*1.2</f>
        <v>0</v>
      </c>
      <c r="H20" s="73">
        <f>+MthlyCapex!I13*1.2</f>
        <v>0</v>
      </c>
      <c r="I20" s="73">
        <f>+MthlyCapex!J13*1.2</f>
        <v>0</v>
      </c>
      <c r="J20" s="73">
        <f>+MthlyCapex!K13*1.2</f>
        <v>0</v>
      </c>
      <c r="K20" s="73">
        <f>+MthlyCapex!L13*1.2</f>
        <v>0</v>
      </c>
      <c r="L20" s="73">
        <f>+MthlyCapex!M13*1.2</f>
        <v>0</v>
      </c>
      <c r="M20" s="73">
        <f>+MthlyCapex!N13*1.2</f>
        <v>0</v>
      </c>
      <c r="N20" s="201">
        <f t="shared" ref="N20:N25" si="2">SUM(B20:M20)</f>
        <v>6000</v>
      </c>
    </row>
    <row r="21" spans="1:14" ht="14.1" customHeight="1" x14ac:dyDescent="0.2">
      <c r="A21" s="31" t="s">
        <v>185</v>
      </c>
      <c r="B21" s="73">
        <f>Loans!D11</f>
        <v>0</v>
      </c>
      <c r="C21" s="73">
        <f>Loans!E11</f>
        <v>0</v>
      </c>
      <c r="D21" s="73">
        <f>Loans!F11</f>
        <v>0</v>
      </c>
      <c r="E21" s="73">
        <f>Loans!G11</f>
        <v>0</v>
      </c>
      <c r="F21" s="73">
        <f>Loans!H11</f>
        <v>0</v>
      </c>
      <c r="G21" s="73">
        <f>Loans!I11</f>
        <v>0</v>
      </c>
      <c r="H21" s="73">
        <f>Loans!J11</f>
        <v>0</v>
      </c>
      <c r="I21" s="73">
        <f>Loans!K11</f>
        <v>0</v>
      </c>
      <c r="J21" s="73">
        <f>Loans!L11</f>
        <v>0</v>
      </c>
      <c r="K21" s="73">
        <f>Loans!M11</f>
        <v>0</v>
      </c>
      <c r="L21" s="73">
        <f>Loans!N11</f>
        <v>0</v>
      </c>
      <c r="M21" s="73">
        <f>Loans!O11</f>
        <v>0</v>
      </c>
      <c r="N21" s="201">
        <f t="shared" si="2"/>
        <v>0</v>
      </c>
    </row>
    <row r="22" spans="1:14" ht="14.1" customHeight="1" x14ac:dyDescent="0.2">
      <c r="A22" s="36" t="s">
        <v>230</v>
      </c>
      <c r="B22" s="73">
        <f>+Loans!D30</f>
        <v>0</v>
      </c>
      <c r="C22" s="73">
        <f>+Loans!E30</f>
        <v>0</v>
      </c>
      <c r="D22" s="73">
        <f>+Loans!F30</f>
        <v>0</v>
      </c>
      <c r="E22" s="73">
        <f>+Loans!G30</f>
        <v>0</v>
      </c>
      <c r="F22" s="73">
        <f>+Loans!H30</f>
        <v>0</v>
      </c>
      <c r="G22" s="73">
        <f>+Loans!I30</f>
        <v>0</v>
      </c>
      <c r="H22" s="73">
        <f>+Loans!J30</f>
        <v>0</v>
      </c>
      <c r="I22" s="73">
        <f>+Loans!K30</f>
        <v>0</v>
      </c>
      <c r="J22" s="73">
        <f>+Loans!L30</f>
        <v>0</v>
      </c>
      <c r="K22" s="73">
        <f>+Loans!M30</f>
        <v>0</v>
      </c>
      <c r="L22" s="73">
        <f>+Loans!N30</f>
        <v>0</v>
      </c>
      <c r="M22" s="73">
        <f>+Loans!O30</f>
        <v>0</v>
      </c>
      <c r="N22" s="201">
        <f t="shared" si="2"/>
        <v>0</v>
      </c>
    </row>
    <row r="23" spans="1:14" ht="14.1" customHeight="1" x14ac:dyDescent="0.2">
      <c r="A23" s="31" t="s">
        <v>114</v>
      </c>
      <c r="B23" s="73">
        <f>MthlyHP!D35</f>
        <v>0</v>
      </c>
      <c r="C23" s="73">
        <f>MthlyHP!E35</f>
        <v>101</v>
      </c>
      <c r="D23" s="73">
        <f>MthlyHP!F35</f>
        <v>102</v>
      </c>
      <c r="E23" s="73">
        <f>MthlyHP!G35</f>
        <v>103</v>
      </c>
      <c r="F23" s="73">
        <f>MthlyHP!H35</f>
        <v>103</v>
      </c>
      <c r="G23" s="73">
        <f>MthlyHP!I35</f>
        <v>104</v>
      </c>
      <c r="H23" s="73">
        <f>MthlyHP!J35</f>
        <v>104</v>
      </c>
      <c r="I23" s="73">
        <f>MthlyHP!K35</f>
        <v>105</v>
      </c>
      <c r="J23" s="73">
        <f>MthlyHP!L35</f>
        <v>105</v>
      </c>
      <c r="K23" s="73">
        <f>MthlyHP!M35</f>
        <v>106</v>
      </c>
      <c r="L23" s="73">
        <f>MthlyHP!N35</f>
        <v>106</v>
      </c>
      <c r="M23" s="73">
        <f>MthlyHP!O35</f>
        <v>107</v>
      </c>
      <c r="N23" s="201">
        <f t="shared" si="2"/>
        <v>1146</v>
      </c>
    </row>
    <row r="24" spans="1:14" ht="14.1" customHeight="1" x14ac:dyDescent="0.2">
      <c r="A24" s="31" t="s">
        <v>115</v>
      </c>
      <c r="B24" s="73">
        <f>Controls!C48</f>
        <v>0</v>
      </c>
      <c r="C24" s="73">
        <f>Controls!D48</f>
        <v>212</v>
      </c>
      <c r="D24" s="73">
        <f>Controls!E48</f>
        <v>0</v>
      </c>
      <c r="E24" s="73">
        <f>Controls!F48</f>
        <v>0</v>
      </c>
      <c r="F24" s="73">
        <f ca="1">Controls!G48</f>
        <v>-162</v>
      </c>
      <c r="G24" s="73">
        <f>Controls!H48</f>
        <v>0</v>
      </c>
      <c r="H24" s="73">
        <f>Controls!I48</f>
        <v>0</v>
      </c>
      <c r="I24" s="73">
        <f ca="1">Controls!J48</f>
        <v>1003</v>
      </c>
      <c r="J24" s="73">
        <f>Controls!K48</f>
        <v>0</v>
      </c>
      <c r="K24" s="73">
        <f>Controls!L48</f>
        <v>0</v>
      </c>
      <c r="L24" s="73">
        <f ca="1">Controls!M48</f>
        <v>1168</v>
      </c>
      <c r="M24" s="73">
        <f>Controls!N48</f>
        <v>0</v>
      </c>
      <c r="N24" s="201">
        <f t="shared" ca="1" si="2"/>
        <v>2221</v>
      </c>
    </row>
    <row r="25" spans="1:14" ht="14.1" customHeight="1" x14ac:dyDescent="0.2">
      <c r="A25" s="31" t="s">
        <v>189</v>
      </c>
      <c r="B25" s="73">
        <f>+Controls!C59</f>
        <v>0</v>
      </c>
      <c r="C25" s="73">
        <f>+Controls!D59</f>
        <v>0</v>
      </c>
      <c r="D25" s="73">
        <f>+Controls!E59</f>
        <v>0</v>
      </c>
      <c r="E25" s="73">
        <f>+Controls!F59</f>
        <v>0</v>
      </c>
      <c r="F25" s="73">
        <f>+Controls!G59</f>
        <v>0</v>
      </c>
      <c r="G25" s="73">
        <f>+Controls!H59</f>
        <v>0</v>
      </c>
      <c r="H25" s="73">
        <f>+Controls!I59</f>
        <v>0</v>
      </c>
      <c r="I25" s="73">
        <f>+Controls!J59</f>
        <v>0</v>
      </c>
      <c r="J25" s="73">
        <f>+Controls!K59</f>
        <v>519</v>
      </c>
      <c r="K25" s="73">
        <f>+Controls!L59</f>
        <v>0</v>
      </c>
      <c r="L25" s="73">
        <f>+Controls!M59</f>
        <v>0</v>
      </c>
      <c r="M25" s="73">
        <f>+Controls!N59</f>
        <v>0</v>
      </c>
      <c r="N25" s="201">
        <f t="shared" si="2"/>
        <v>519</v>
      </c>
    </row>
    <row r="26" spans="1:14" ht="14.1" customHeight="1" thickBot="1" x14ac:dyDescent="0.25">
      <c r="A26" s="13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5"/>
    </row>
    <row r="27" spans="1:14" s="1" customFormat="1" ht="14.1" customHeight="1" thickBot="1" x14ac:dyDescent="0.25">
      <c r="A27" s="38" t="s">
        <v>67</v>
      </c>
      <c r="B27" s="39">
        <f t="shared" ref="B27:N27" si="3">SUM(B10:B26)</f>
        <v>1386</v>
      </c>
      <c r="C27" s="39">
        <f t="shared" si="3"/>
        <v>10568</v>
      </c>
      <c r="D27" s="39">
        <f t="shared" ca="1" si="3"/>
        <v>2897</v>
      </c>
      <c r="E27" s="39">
        <f t="shared" ca="1" si="3"/>
        <v>2919</v>
      </c>
      <c r="F27" s="39">
        <f t="shared" ca="1" si="3"/>
        <v>2791</v>
      </c>
      <c r="G27" s="39">
        <f t="shared" ca="1" si="3"/>
        <v>3192</v>
      </c>
      <c r="H27" s="39">
        <f t="shared" ca="1" si="3"/>
        <v>3212</v>
      </c>
      <c r="I27" s="39">
        <f t="shared" ca="1" si="3"/>
        <v>4252</v>
      </c>
      <c r="J27" s="39">
        <f t="shared" ca="1" si="3"/>
        <v>4005</v>
      </c>
      <c r="K27" s="39">
        <f t="shared" ca="1" si="3"/>
        <v>3509</v>
      </c>
      <c r="L27" s="39">
        <f t="shared" ca="1" si="3"/>
        <v>4711</v>
      </c>
      <c r="M27" s="39">
        <f t="shared" ca="1" si="3"/>
        <v>3781</v>
      </c>
      <c r="N27" s="40">
        <f t="shared" ca="1" si="3"/>
        <v>47223</v>
      </c>
    </row>
    <row r="28" spans="1:14" ht="14.1" customHeight="1" thickBot="1" x14ac:dyDescent="0.25">
      <c r="A28" s="13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5"/>
    </row>
    <row r="29" spans="1:14" s="1" customFormat="1" ht="14.1" customHeight="1" thickBot="1" x14ac:dyDescent="0.25">
      <c r="A29" s="38" t="s">
        <v>77</v>
      </c>
      <c r="B29" s="39">
        <f t="shared" ref="B29:M29" si="4">+B8-B27</f>
        <v>-1226</v>
      </c>
      <c r="C29" s="39">
        <f t="shared" si="4"/>
        <v>-1768</v>
      </c>
      <c r="D29" s="39">
        <f t="shared" ca="1" si="4"/>
        <v>703</v>
      </c>
      <c r="E29" s="39">
        <f t="shared" ca="1" si="4"/>
        <v>861</v>
      </c>
      <c r="F29" s="39">
        <f t="shared" ca="1" si="4"/>
        <v>1349</v>
      </c>
      <c r="G29" s="39">
        <f t="shared" ca="1" si="4"/>
        <v>1008</v>
      </c>
      <c r="H29" s="39">
        <f t="shared" ca="1" si="4"/>
        <v>1168</v>
      </c>
      <c r="I29" s="39">
        <f t="shared" ca="1" si="4"/>
        <v>488</v>
      </c>
      <c r="J29" s="39">
        <f t="shared" ca="1" si="4"/>
        <v>795</v>
      </c>
      <c r="K29" s="39">
        <f t="shared" ca="1" si="4"/>
        <v>1471</v>
      </c>
      <c r="L29" s="39">
        <f t="shared" ca="1" si="4"/>
        <v>629</v>
      </c>
      <c r="M29" s="39">
        <f t="shared" ca="1" si="4"/>
        <v>1619</v>
      </c>
      <c r="N29" s="40">
        <f ca="1">SUM(B29:M29)</f>
        <v>7097</v>
      </c>
    </row>
    <row r="30" spans="1:14" ht="14.1" customHeight="1" thickBot="1" x14ac:dyDescent="0.25">
      <c r="A30" s="13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5"/>
    </row>
    <row r="31" spans="1:14" s="1" customFormat="1" ht="14.1" customHeight="1" thickBot="1" x14ac:dyDescent="0.25">
      <c r="A31" s="38" t="s">
        <v>78</v>
      </c>
      <c r="B31" s="39">
        <f>+B8-B27</f>
        <v>-1226</v>
      </c>
      <c r="C31" s="39">
        <f>+B31+C29</f>
        <v>-2994</v>
      </c>
      <c r="D31" s="39">
        <f t="shared" ref="D31:M31" ca="1" si="5">+C31+D29</f>
        <v>-2291</v>
      </c>
      <c r="E31" s="39">
        <f t="shared" ca="1" si="5"/>
        <v>-1430</v>
      </c>
      <c r="F31" s="39">
        <f t="shared" ca="1" si="5"/>
        <v>-81</v>
      </c>
      <c r="G31" s="39">
        <f t="shared" ca="1" si="5"/>
        <v>927</v>
      </c>
      <c r="H31" s="39">
        <f t="shared" ca="1" si="5"/>
        <v>2095</v>
      </c>
      <c r="I31" s="39">
        <f t="shared" ca="1" si="5"/>
        <v>2583</v>
      </c>
      <c r="J31" s="39">
        <f t="shared" ca="1" si="5"/>
        <v>3378</v>
      </c>
      <c r="K31" s="39">
        <f t="shared" ca="1" si="5"/>
        <v>4849</v>
      </c>
      <c r="L31" s="39">
        <f t="shared" ca="1" si="5"/>
        <v>5478</v>
      </c>
      <c r="M31" s="39">
        <f t="shared" ca="1" si="5"/>
        <v>7097</v>
      </c>
      <c r="N31" s="40"/>
    </row>
    <row r="32" spans="1:14" ht="14.1" customHeight="1" thickBot="1" x14ac:dyDescent="0.25">
      <c r="A32" s="13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5"/>
    </row>
    <row r="33" spans="1:14" s="1" customFormat="1" ht="14.1" customHeight="1" thickBot="1" x14ac:dyDescent="0.25">
      <c r="A33" s="38" t="s">
        <v>190</v>
      </c>
      <c r="B33" s="39">
        <f>+'BS Detl'!B11+B29</f>
        <v>2940</v>
      </c>
      <c r="C33" s="39">
        <f>+B33+C29</f>
        <v>1172</v>
      </c>
      <c r="D33" s="39">
        <f t="shared" ref="D33:M33" ca="1" si="6">+C33+D29</f>
        <v>1875</v>
      </c>
      <c r="E33" s="39">
        <f t="shared" ca="1" si="6"/>
        <v>2736</v>
      </c>
      <c r="F33" s="39">
        <f t="shared" ca="1" si="6"/>
        <v>4085</v>
      </c>
      <c r="G33" s="39">
        <f t="shared" ca="1" si="6"/>
        <v>5093</v>
      </c>
      <c r="H33" s="39">
        <f t="shared" ca="1" si="6"/>
        <v>6261</v>
      </c>
      <c r="I33" s="39">
        <f t="shared" ca="1" si="6"/>
        <v>6749</v>
      </c>
      <c r="J33" s="39">
        <f t="shared" ca="1" si="6"/>
        <v>7544</v>
      </c>
      <c r="K33" s="39">
        <f t="shared" ca="1" si="6"/>
        <v>9015</v>
      </c>
      <c r="L33" s="39">
        <f t="shared" ca="1" si="6"/>
        <v>9644</v>
      </c>
      <c r="M33" s="39">
        <f t="shared" ca="1" si="6"/>
        <v>11263</v>
      </c>
      <c r="N33" s="40"/>
    </row>
    <row r="34" spans="1:14" s="44" customFormat="1" ht="14.1" customHeight="1" thickBot="1" x14ac:dyDescent="0.25">
      <c r="A34" s="41" t="s">
        <v>38</v>
      </c>
      <c r="B34" s="42">
        <f>+B31</f>
        <v>-1226</v>
      </c>
      <c r="C34" s="42">
        <f t="shared" ref="C34:M34" si="7">+B34+C31</f>
        <v>-4220</v>
      </c>
      <c r="D34" s="42">
        <f t="shared" ca="1" si="7"/>
        <v>-6511</v>
      </c>
      <c r="E34" s="42">
        <f t="shared" ca="1" si="7"/>
        <v>-7941</v>
      </c>
      <c r="F34" s="42">
        <f t="shared" ca="1" si="7"/>
        <v>-8022</v>
      </c>
      <c r="G34" s="42">
        <f t="shared" ca="1" si="7"/>
        <v>-7095</v>
      </c>
      <c r="H34" s="42">
        <f t="shared" ca="1" si="7"/>
        <v>-5000</v>
      </c>
      <c r="I34" s="42">
        <f t="shared" ca="1" si="7"/>
        <v>-2417</v>
      </c>
      <c r="J34" s="42">
        <f t="shared" ca="1" si="7"/>
        <v>961</v>
      </c>
      <c r="K34" s="42">
        <f t="shared" ca="1" si="7"/>
        <v>5810</v>
      </c>
      <c r="L34" s="42">
        <f t="shared" ca="1" si="7"/>
        <v>11288</v>
      </c>
      <c r="M34" s="42">
        <f t="shared" ca="1" si="7"/>
        <v>18385</v>
      </c>
      <c r="N34" s="43"/>
    </row>
    <row r="35" spans="1:14" ht="14.1" customHeight="1" thickTop="1" x14ac:dyDescent="0.2"/>
  </sheetData>
  <phoneticPr fontId="7" type="noConversion"/>
  <pageMargins left="0.75" right="0.75" top="1" bottom="1" header="0.5" footer="0.5"/>
  <pageSetup paperSize="9" scale="73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50"/>
  <sheetViews>
    <sheetView showGridLines="0" workbookViewId="0">
      <selection activeCell="E4" sqref="E4"/>
    </sheetView>
  </sheetViews>
  <sheetFormatPr defaultRowHeight="14.1" customHeight="1" x14ac:dyDescent="0.2"/>
  <cols>
    <col min="1" max="1" width="29.85546875" customWidth="1"/>
    <col min="2" max="5" width="10.7109375" customWidth="1"/>
    <col min="13" max="13" width="10.140625" customWidth="1"/>
    <col min="14" max="14" width="11.7109375" style="1" customWidth="1"/>
  </cols>
  <sheetData>
    <row r="1" spans="1:14" ht="14.1" customHeight="1" x14ac:dyDescent="0.25">
      <c r="A1" s="3" t="s">
        <v>170</v>
      </c>
    </row>
    <row r="2" spans="1:14" ht="14.1" customHeight="1" thickBot="1" x14ac:dyDescent="0.25"/>
    <row r="3" spans="1:14" ht="14.1" customHeight="1" thickTop="1" x14ac:dyDescent="0.2">
      <c r="A3" s="10"/>
      <c r="B3" s="11">
        <f>+Cashflow!B3</f>
        <v>45307</v>
      </c>
      <c r="C3" s="11">
        <f>+Cashflow!C3</f>
        <v>45337</v>
      </c>
      <c r="D3" s="11">
        <f>+Cashflow!D3</f>
        <v>45367</v>
      </c>
      <c r="E3" s="11">
        <f>+Cashflow!E3</f>
        <v>45397</v>
      </c>
      <c r="F3" s="11">
        <f>+Cashflow!F3</f>
        <v>45427</v>
      </c>
      <c r="G3" s="11">
        <f>+Cashflow!G3</f>
        <v>45457</v>
      </c>
      <c r="H3" s="11">
        <f>+Cashflow!H3</f>
        <v>45487</v>
      </c>
      <c r="I3" s="11">
        <f>+Cashflow!I3</f>
        <v>45517</v>
      </c>
      <c r="J3" s="11">
        <f>+Cashflow!J3</f>
        <v>45547</v>
      </c>
      <c r="K3" s="11">
        <f>+Cashflow!K3</f>
        <v>45577</v>
      </c>
      <c r="L3" s="11">
        <f>+Cashflow!L3</f>
        <v>45607</v>
      </c>
      <c r="M3" s="11">
        <f>+Cashflow!M3</f>
        <v>45637</v>
      </c>
      <c r="N3" s="12" t="s">
        <v>3</v>
      </c>
    </row>
    <row r="4" spans="1:14" ht="14.1" customHeight="1" x14ac:dyDescent="0.2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5"/>
    </row>
    <row r="5" spans="1:14" ht="14.1" customHeight="1" x14ac:dyDescent="0.2">
      <c r="A5" s="92" t="s">
        <v>13</v>
      </c>
      <c r="B5" s="93">
        <f>Cashflow!B5*0.175</f>
        <v>28</v>
      </c>
      <c r="C5" s="93">
        <f>Cashflow!C5*0.175</f>
        <v>840</v>
      </c>
      <c r="D5" s="93">
        <f ca="1">Cashflow!D5*0.175</f>
        <v>630</v>
      </c>
      <c r="E5" s="93">
        <f ca="1">Cashflow!E5*0.175</f>
        <v>662</v>
      </c>
      <c r="F5" s="93">
        <f ca="1">Cashflow!F5*0.175</f>
        <v>725</v>
      </c>
      <c r="G5" s="93">
        <f ca="1">Cashflow!G5*0.175</f>
        <v>735</v>
      </c>
      <c r="H5" s="93">
        <f ca="1">Cashflow!H5*0.175</f>
        <v>767</v>
      </c>
      <c r="I5" s="93">
        <f ca="1">Cashflow!I5*0.175</f>
        <v>830</v>
      </c>
      <c r="J5" s="93">
        <f ca="1">Cashflow!J5*0.175</f>
        <v>840</v>
      </c>
      <c r="K5" s="93">
        <f ca="1">Cashflow!K5*0.175</f>
        <v>872</v>
      </c>
      <c r="L5" s="93">
        <f ca="1">Cashflow!L5*0.175</f>
        <v>935</v>
      </c>
      <c r="M5" s="93">
        <f ca="1">Cashflow!M5*0.175</f>
        <v>945</v>
      </c>
      <c r="N5" s="94">
        <f ca="1">SUM(B5:M5)</f>
        <v>8809</v>
      </c>
    </row>
    <row r="6" spans="1:14" ht="14.1" customHeight="1" thickBot="1" x14ac:dyDescent="0.25">
      <c r="A6" s="13"/>
      <c r="B6" s="14"/>
      <c r="C6" s="14"/>
      <c r="D6" s="14"/>
      <c r="E6" s="51"/>
      <c r="F6" s="51"/>
      <c r="G6" s="51"/>
      <c r="H6" s="51"/>
      <c r="I6" s="51"/>
      <c r="J6" s="51"/>
      <c r="K6" s="51"/>
      <c r="L6" s="51"/>
      <c r="M6" s="51"/>
      <c r="N6" s="16">
        <f>SUM(B6:M6)</f>
        <v>0</v>
      </c>
    </row>
    <row r="7" spans="1:14" s="1" customFormat="1" ht="14.1" customHeight="1" thickBot="1" x14ac:dyDescent="0.25">
      <c r="A7" s="117" t="s">
        <v>15</v>
      </c>
      <c r="B7" s="118">
        <f t="shared" ref="B7:M7" si="0">SUM(B5:B6)</f>
        <v>28</v>
      </c>
      <c r="C7" s="118">
        <f t="shared" si="0"/>
        <v>840</v>
      </c>
      <c r="D7" s="118">
        <f t="shared" ca="1" si="0"/>
        <v>630</v>
      </c>
      <c r="E7" s="119">
        <f t="shared" ca="1" si="0"/>
        <v>662</v>
      </c>
      <c r="F7" s="119">
        <f t="shared" ca="1" si="0"/>
        <v>725</v>
      </c>
      <c r="G7" s="119">
        <f t="shared" ca="1" si="0"/>
        <v>735</v>
      </c>
      <c r="H7" s="119">
        <f t="shared" ca="1" si="0"/>
        <v>767</v>
      </c>
      <c r="I7" s="119">
        <f t="shared" ca="1" si="0"/>
        <v>830</v>
      </c>
      <c r="J7" s="119">
        <f t="shared" ca="1" si="0"/>
        <v>840</v>
      </c>
      <c r="K7" s="119">
        <f t="shared" ca="1" si="0"/>
        <v>872</v>
      </c>
      <c r="L7" s="119">
        <f t="shared" ca="1" si="0"/>
        <v>935</v>
      </c>
      <c r="M7" s="119">
        <f t="shared" ca="1" si="0"/>
        <v>945</v>
      </c>
      <c r="N7" s="19">
        <f ca="1">SUM(B7:M7)</f>
        <v>8809</v>
      </c>
    </row>
    <row r="8" spans="1:14" ht="14.1" customHeight="1" x14ac:dyDescent="0.2">
      <c r="A8" s="13" t="s">
        <v>93</v>
      </c>
      <c r="B8" s="14"/>
      <c r="C8" s="14"/>
      <c r="D8" s="14"/>
      <c r="E8" s="51"/>
      <c r="F8" s="51"/>
      <c r="G8" s="51"/>
      <c r="H8" s="51"/>
      <c r="I8" s="51"/>
      <c r="J8" s="51"/>
      <c r="K8" s="51"/>
      <c r="L8" s="51"/>
      <c r="M8" s="51"/>
      <c r="N8" s="16"/>
    </row>
    <row r="9" spans="1:14" s="1" customFormat="1" ht="14.1" customHeight="1" x14ac:dyDescent="0.2">
      <c r="A9" s="71" t="s">
        <v>94</v>
      </c>
      <c r="B9" s="72">
        <f>Cashflow!B10*'P&amp;L Detl'!$B$9</f>
        <v>170</v>
      </c>
      <c r="C9" s="72">
        <f>Cashflow!C10*'P&amp;L Detl'!$B$9</f>
        <v>540</v>
      </c>
      <c r="D9" s="72">
        <f ca="1">Cashflow!D10*'P&amp;L Detl'!$B$9</f>
        <v>446</v>
      </c>
      <c r="E9" s="72">
        <f ca="1">Cashflow!E10*'P&amp;L Detl'!$B$9</f>
        <v>447</v>
      </c>
      <c r="F9" s="72">
        <f ca="1">Cashflow!F10*'P&amp;L Detl'!$B$9</f>
        <v>452</v>
      </c>
      <c r="G9" s="72">
        <f ca="1">Cashflow!G10*'P&amp;L Detl'!$B$9</f>
        <v>500</v>
      </c>
      <c r="H9" s="72">
        <f ca="1">Cashflow!H10*'P&amp;L Detl'!$B$9</f>
        <v>501</v>
      </c>
      <c r="I9" s="72">
        <f ca="1">Cashflow!I10*'P&amp;L Detl'!$B$9</f>
        <v>506</v>
      </c>
      <c r="J9" s="72">
        <f ca="1">Cashflow!J10*'P&amp;L Detl'!$B$9</f>
        <v>554</v>
      </c>
      <c r="K9" s="72">
        <f ca="1">Cashflow!K10*'P&amp;L Detl'!$B$9</f>
        <v>555</v>
      </c>
      <c r="L9" s="72">
        <f ca="1">Cashflow!L10*'P&amp;L Detl'!$B$9</f>
        <v>560</v>
      </c>
      <c r="M9" s="72">
        <f ca="1">Cashflow!M10*'P&amp;L Detl'!$B$9</f>
        <v>608</v>
      </c>
      <c r="N9" s="65">
        <f ca="1">SUM(B9:M9)</f>
        <v>5839</v>
      </c>
    </row>
    <row r="10" spans="1:14" s="1" customFormat="1" ht="14.1" customHeight="1" x14ac:dyDescent="0.2">
      <c r="A10" s="71" t="s">
        <v>95</v>
      </c>
      <c r="B10" s="72" t="e">
        <f>Cashflow!#REF!*'P&amp;L Detl'!$B$9</f>
        <v>#REF!</v>
      </c>
      <c r="C10" s="72" t="e">
        <f>Cashflow!#REF!*'P&amp;L Detl'!$B$9</f>
        <v>#REF!</v>
      </c>
      <c r="D10" s="72" t="e">
        <f>Cashflow!#REF!*'P&amp;L Detl'!$B$9</f>
        <v>#REF!</v>
      </c>
      <c r="E10" s="72" t="e">
        <f>Cashflow!#REF!*'P&amp;L Detl'!$B$9</f>
        <v>#REF!</v>
      </c>
      <c r="F10" s="72" t="e">
        <f>Cashflow!#REF!*'P&amp;L Detl'!$B$9</f>
        <v>#REF!</v>
      </c>
      <c r="G10" s="72" t="e">
        <f>Cashflow!#REF!*'P&amp;L Detl'!$B$9</f>
        <v>#REF!</v>
      </c>
      <c r="H10" s="72" t="e">
        <f>Cashflow!#REF!*'P&amp;L Detl'!$B$9</f>
        <v>#REF!</v>
      </c>
      <c r="I10" s="72" t="e">
        <f>Cashflow!#REF!*'P&amp;L Detl'!$B$9</f>
        <v>#REF!</v>
      </c>
      <c r="J10" s="72" t="e">
        <f>Cashflow!#REF!*'P&amp;L Detl'!$B$9</f>
        <v>#REF!</v>
      </c>
      <c r="K10" s="72" t="e">
        <f>Cashflow!#REF!*'P&amp;L Detl'!$B$9</f>
        <v>#REF!</v>
      </c>
      <c r="L10" s="72" t="e">
        <f>Cashflow!#REF!*'P&amp;L Detl'!$B$9</f>
        <v>#REF!</v>
      </c>
      <c r="M10" s="72" t="e">
        <f>Cashflow!#REF!*'P&amp;L Detl'!$B$9</f>
        <v>#REF!</v>
      </c>
      <c r="N10" s="65" t="e">
        <f>SUM(B10:M10)</f>
        <v>#REF!</v>
      </c>
    </row>
    <row r="11" spans="1:14" ht="12.75" x14ac:dyDescent="0.2">
      <c r="A11" s="60" t="s">
        <v>96</v>
      </c>
      <c r="B11" s="61" t="e">
        <f>Cashflow!#REF!*'P&amp;L Detl'!#REF!</f>
        <v>#REF!</v>
      </c>
      <c r="C11" s="72" t="e">
        <f>Cashflow!#REF!*'P&amp;L Detl'!#REF!</f>
        <v>#REF!</v>
      </c>
      <c r="D11" s="61" t="e">
        <f>Cashflow!#REF!*'P&amp;L Detl'!#REF!</f>
        <v>#REF!</v>
      </c>
      <c r="E11" s="61" t="e">
        <f>Cashflow!#REF!*'P&amp;L Detl'!#REF!</f>
        <v>#REF!</v>
      </c>
      <c r="F11" s="61" t="e">
        <f>Cashflow!#REF!*'P&amp;L Detl'!#REF!</f>
        <v>#REF!</v>
      </c>
      <c r="G11" s="61" t="e">
        <f>Cashflow!#REF!*'P&amp;L Detl'!#REF!</f>
        <v>#REF!</v>
      </c>
      <c r="H11" s="61" t="e">
        <f>Cashflow!#REF!*'P&amp;L Detl'!#REF!</f>
        <v>#REF!</v>
      </c>
      <c r="I11" s="61" t="e">
        <f>Cashflow!#REF!*'P&amp;L Detl'!#REF!</f>
        <v>#REF!</v>
      </c>
      <c r="J11" s="61" t="e">
        <f>Cashflow!#REF!*'P&amp;L Detl'!#REF!</f>
        <v>#REF!</v>
      </c>
      <c r="K11" s="61" t="e">
        <f>Cashflow!#REF!*'P&amp;L Detl'!#REF!</f>
        <v>#REF!</v>
      </c>
      <c r="L11" s="61" t="e">
        <f>Cashflow!#REF!*'P&amp;L Detl'!#REF!</f>
        <v>#REF!</v>
      </c>
      <c r="M11" s="61" t="e">
        <f>Cashflow!#REF!*'P&amp;L Detl'!#REF!</f>
        <v>#REF!</v>
      </c>
      <c r="N11" s="63" t="e">
        <f t="shared" ref="N11:N20" si="1">SUM(B11:M11)</f>
        <v>#REF!</v>
      </c>
    </row>
    <row r="12" spans="1:14" ht="12.75" x14ac:dyDescent="0.2">
      <c r="A12" s="60" t="s">
        <v>97</v>
      </c>
      <c r="B12" s="61" t="e">
        <f>Cashflow!#REF!*'P&amp;L Detl'!#REF!</f>
        <v>#REF!</v>
      </c>
      <c r="C12" s="72" t="e">
        <f>Cashflow!#REF!*'P&amp;L Detl'!#REF!</f>
        <v>#REF!</v>
      </c>
      <c r="D12" s="61" t="e">
        <f>Cashflow!#REF!*'P&amp;L Detl'!#REF!</f>
        <v>#REF!</v>
      </c>
      <c r="E12" s="61" t="e">
        <f>Cashflow!#REF!*'P&amp;L Detl'!#REF!</f>
        <v>#REF!</v>
      </c>
      <c r="F12" s="61" t="e">
        <f>Cashflow!#REF!*'P&amp;L Detl'!#REF!</f>
        <v>#REF!</v>
      </c>
      <c r="G12" s="61" t="e">
        <f>Cashflow!#REF!*'P&amp;L Detl'!#REF!</f>
        <v>#REF!</v>
      </c>
      <c r="H12" s="61" t="e">
        <f>Cashflow!#REF!*'P&amp;L Detl'!#REF!</f>
        <v>#REF!</v>
      </c>
      <c r="I12" s="61" t="e">
        <f>Cashflow!#REF!*'P&amp;L Detl'!#REF!</f>
        <v>#REF!</v>
      </c>
      <c r="J12" s="61" t="e">
        <f>Cashflow!#REF!*'P&amp;L Detl'!#REF!</f>
        <v>#REF!</v>
      </c>
      <c r="K12" s="61" t="e">
        <f>Cashflow!#REF!*'P&amp;L Detl'!#REF!</f>
        <v>#REF!</v>
      </c>
      <c r="L12" s="61" t="e">
        <f>Cashflow!#REF!*'P&amp;L Detl'!#REF!</f>
        <v>#REF!</v>
      </c>
      <c r="M12" s="61" t="e">
        <f>Cashflow!#REF!*'P&amp;L Detl'!#REF!</f>
        <v>#REF!</v>
      </c>
      <c r="N12" s="63" t="e">
        <f t="shared" si="1"/>
        <v>#REF!</v>
      </c>
    </row>
    <row r="13" spans="1:14" ht="12.75" x14ac:dyDescent="0.2">
      <c r="A13" s="60" t="s">
        <v>98</v>
      </c>
      <c r="B13" s="61" t="e">
        <f>Cashflow!#REF!*'P&amp;L Detl'!$B$26</f>
        <v>#REF!</v>
      </c>
      <c r="C13" s="72" t="e">
        <f>Cashflow!#REF!*'P&amp;L Detl'!$B$26</f>
        <v>#REF!</v>
      </c>
      <c r="D13" s="61" t="e">
        <f>Cashflow!#REF!*'P&amp;L Detl'!$B$26</f>
        <v>#REF!</v>
      </c>
      <c r="E13" s="61" t="e">
        <f>Cashflow!#REF!*'P&amp;L Detl'!$B$26</f>
        <v>#REF!</v>
      </c>
      <c r="F13" s="61" t="e">
        <f>Cashflow!#REF!*'P&amp;L Detl'!$B$26</f>
        <v>#REF!</v>
      </c>
      <c r="G13" s="61" t="e">
        <f>Cashflow!#REF!*'P&amp;L Detl'!$B$26</f>
        <v>#REF!</v>
      </c>
      <c r="H13" s="61" t="e">
        <f>Cashflow!#REF!*'P&amp;L Detl'!$B$26</f>
        <v>#REF!</v>
      </c>
      <c r="I13" s="61" t="e">
        <f>Cashflow!#REF!*'P&amp;L Detl'!$B$26</f>
        <v>#REF!</v>
      </c>
      <c r="J13" s="61" t="e">
        <f>Cashflow!#REF!*'P&amp;L Detl'!$B$26</f>
        <v>#REF!</v>
      </c>
      <c r="K13" s="61" t="e">
        <f>Cashflow!#REF!*'P&amp;L Detl'!$B$26</f>
        <v>#REF!</v>
      </c>
      <c r="L13" s="61" t="e">
        <f>Cashflow!#REF!*'P&amp;L Detl'!$B$26</f>
        <v>#REF!</v>
      </c>
      <c r="M13" s="61" t="e">
        <f>Cashflow!#REF!*'P&amp;L Detl'!$B$26</f>
        <v>#REF!</v>
      </c>
      <c r="N13" s="63" t="e">
        <f t="shared" si="1"/>
        <v>#REF!</v>
      </c>
    </row>
    <row r="14" spans="1:14" ht="12.75" x14ac:dyDescent="0.2">
      <c r="A14" s="60" t="s">
        <v>167</v>
      </c>
      <c r="B14" s="61" t="e">
        <f>Cashflow!#REF!*'P&amp;L Detl'!$B$38</f>
        <v>#REF!</v>
      </c>
      <c r="C14" s="72" t="e">
        <f>Cashflow!#REF!*'P&amp;L Detl'!$B$38</f>
        <v>#REF!</v>
      </c>
      <c r="D14" s="61" t="e">
        <f>Cashflow!#REF!*'P&amp;L Detl'!$B$38</f>
        <v>#REF!</v>
      </c>
      <c r="E14" s="61" t="e">
        <f>Cashflow!#REF!*'P&amp;L Detl'!$B$38</f>
        <v>#REF!</v>
      </c>
      <c r="F14" s="61" t="e">
        <f>Cashflow!#REF!*'P&amp;L Detl'!$B$38</f>
        <v>#REF!</v>
      </c>
      <c r="G14" s="61" t="e">
        <f>Cashflow!#REF!*'P&amp;L Detl'!$B$38</f>
        <v>#REF!</v>
      </c>
      <c r="H14" s="61" t="e">
        <f>Cashflow!#REF!*'P&amp;L Detl'!$B$38</f>
        <v>#REF!</v>
      </c>
      <c r="I14" s="61" t="e">
        <f>Cashflow!#REF!*'P&amp;L Detl'!$B$38</f>
        <v>#REF!</v>
      </c>
      <c r="J14" s="61" t="e">
        <f>Cashflow!#REF!*'P&amp;L Detl'!$B$38</f>
        <v>#REF!</v>
      </c>
      <c r="K14" s="61" t="e">
        <f>Cashflow!#REF!*'P&amp;L Detl'!$B$38</f>
        <v>#REF!</v>
      </c>
      <c r="L14" s="61" t="e">
        <f>Cashflow!#REF!*'P&amp;L Detl'!$B$38</f>
        <v>#REF!</v>
      </c>
      <c r="M14" s="61" t="e">
        <f>Cashflow!#REF!*'P&amp;L Detl'!$B$38</f>
        <v>#REF!</v>
      </c>
      <c r="N14" s="63" t="e">
        <f t="shared" si="1"/>
        <v>#REF!</v>
      </c>
    </row>
    <row r="15" spans="1:14" ht="12.75" x14ac:dyDescent="0.2">
      <c r="A15" s="60" t="s">
        <v>99</v>
      </c>
      <c r="B15" s="61" t="e">
        <f>Cashflow!#REF!*'P&amp;L Detl'!#REF!</f>
        <v>#REF!</v>
      </c>
      <c r="C15" s="72" t="e">
        <f>Cashflow!#REF!*'P&amp;L Detl'!#REF!</f>
        <v>#REF!</v>
      </c>
      <c r="D15" s="61" t="e">
        <f>Cashflow!#REF!*'P&amp;L Detl'!#REF!</f>
        <v>#REF!</v>
      </c>
      <c r="E15" s="61" t="e">
        <f>Cashflow!#REF!*'P&amp;L Detl'!#REF!</f>
        <v>#REF!</v>
      </c>
      <c r="F15" s="61" t="e">
        <f>Cashflow!#REF!*'P&amp;L Detl'!#REF!</f>
        <v>#REF!</v>
      </c>
      <c r="G15" s="61" t="e">
        <f>Cashflow!#REF!*'P&amp;L Detl'!#REF!</f>
        <v>#REF!</v>
      </c>
      <c r="H15" s="61" t="e">
        <f>Cashflow!#REF!*'P&amp;L Detl'!#REF!</f>
        <v>#REF!</v>
      </c>
      <c r="I15" s="61" t="e">
        <f>Cashflow!#REF!*'P&amp;L Detl'!#REF!</f>
        <v>#REF!</v>
      </c>
      <c r="J15" s="61" t="e">
        <f>Cashflow!#REF!*'P&amp;L Detl'!#REF!</f>
        <v>#REF!</v>
      </c>
      <c r="K15" s="61" t="e">
        <f>Cashflow!#REF!*'P&amp;L Detl'!#REF!</f>
        <v>#REF!</v>
      </c>
      <c r="L15" s="61" t="e">
        <f>Cashflow!#REF!*'P&amp;L Detl'!#REF!</f>
        <v>#REF!</v>
      </c>
      <c r="M15" s="61" t="e">
        <f>Cashflow!#REF!*'P&amp;L Detl'!#REF!</f>
        <v>#REF!</v>
      </c>
      <c r="N15" s="63" t="e">
        <f t="shared" si="1"/>
        <v>#REF!</v>
      </c>
    </row>
    <row r="16" spans="1:14" ht="12.75" x14ac:dyDescent="0.2">
      <c r="A16" s="60" t="s">
        <v>100</v>
      </c>
      <c r="B16" s="61" t="e">
        <f>Cashflow!#REF!*'P&amp;L Detl'!$B$39</f>
        <v>#REF!</v>
      </c>
      <c r="C16" s="72" t="e">
        <f>Cashflow!#REF!*'P&amp;L Detl'!$B$39</f>
        <v>#REF!</v>
      </c>
      <c r="D16" s="61" t="e">
        <f>Cashflow!#REF!*'P&amp;L Detl'!$B$39</f>
        <v>#REF!</v>
      </c>
      <c r="E16" s="61" t="e">
        <f>Cashflow!#REF!*'P&amp;L Detl'!$B$39</f>
        <v>#REF!</v>
      </c>
      <c r="F16" s="61" t="e">
        <f>Cashflow!#REF!*'P&amp;L Detl'!$B$39</f>
        <v>#REF!</v>
      </c>
      <c r="G16" s="61" t="e">
        <f>Cashflow!#REF!*'P&amp;L Detl'!$B$39</f>
        <v>#REF!</v>
      </c>
      <c r="H16" s="61" t="e">
        <f>Cashflow!#REF!*'P&amp;L Detl'!$B$39</f>
        <v>#REF!</v>
      </c>
      <c r="I16" s="61" t="e">
        <f>Cashflow!#REF!*'P&amp;L Detl'!$B$39</f>
        <v>#REF!</v>
      </c>
      <c r="J16" s="61" t="e">
        <f>Cashflow!#REF!*'P&amp;L Detl'!$B$39</f>
        <v>#REF!</v>
      </c>
      <c r="K16" s="61" t="e">
        <f>Cashflow!#REF!*'P&amp;L Detl'!$B$39</f>
        <v>#REF!</v>
      </c>
      <c r="L16" s="61" t="e">
        <f>Cashflow!#REF!*'P&amp;L Detl'!$B$39</f>
        <v>#REF!</v>
      </c>
      <c r="M16" s="61" t="e">
        <f>Cashflow!#REF!*'P&amp;L Detl'!$B$39</f>
        <v>#REF!</v>
      </c>
      <c r="N16" s="63" t="e">
        <f t="shared" si="1"/>
        <v>#REF!</v>
      </c>
    </row>
    <row r="17" spans="1:14" ht="12.75" x14ac:dyDescent="0.2">
      <c r="A17" s="60" t="s">
        <v>101</v>
      </c>
      <c r="B17" s="61" t="e">
        <f>Cashflow!#REF!*'P&amp;L Detl'!#REF!</f>
        <v>#REF!</v>
      </c>
      <c r="C17" s="72" t="e">
        <f>Cashflow!#REF!*'P&amp;L Detl'!#REF!</f>
        <v>#REF!</v>
      </c>
      <c r="D17" s="61" t="e">
        <f>Cashflow!#REF!*'P&amp;L Detl'!#REF!</f>
        <v>#REF!</v>
      </c>
      <c r="E17" s="61" t="e">
        <f>Cashflow!#REF!*'P&amp;L Detl'!#REF!</f>
        <v>#REF!</v>
      </c>
      <c r="F17" s="61" t="e">
        <f>Cashflow!#REF!*'P&amp;L Detl'!#REF!</f>
        <v>#REF!</v>
      </c>
      <c r="G17" s="61" t="e">
        <f>Cashflow!#REF!*'P&amp;L Detl'!#REF!</f>
        <v>#REF!</v>
      </c>
      <c r="H17" s="61" t="e">
        <f>Cashflow!#REF!*'P&amp;L Detl'!#REF!</f>
        <v>#REF!</v>
      </c>
      <c r="I17" s="61" t="e">
        <f>Cashflow!#REF!*'P&amp;L Detl'!#REF!</f>
        <v>#REF!</v>
      </c>
      <c r="J17" s="61" t="e">
        <f>Cashflow!#REF!*'P&amp;L Detl'!#REF!</f>
        <v>#REF!</v>
      </c>
      <c r="K17" s="61" t="e">
        <f>Cashflow!#REF!*'P&amp;L Detl'!#REF!</f>
        <v>#REF!</v>
      </c>
      <c r="L17" s="61" t="e">
        <f>Cashflow!#REF!*'P&amp;L Detl'!#REF!</f>
        <v>#REF!</v>
      </c>
      <c r="M17" s="61" t="e">
        <f>Cashflow!#REF!*'P&amp;L Detl'!#REF!</f>
        <v>#REF!</v>
      </c>
      <c r="N17" s="63" t="e">
        <f t="shared" si="1"/>
        <v>#REF!</v>
      </c>
    </row>
    <row r="18" spans="1:14" ht="12.75" x14ac:dyDescent="0.2">
      <c r="A18" s="60" t="s">
        <v>102</v>
      </c>
      <c r="B18" s="61" t="e">
        <f>Cashflow!#REF!*'P&amp;L Detl'!#REF!</f>
        <v>#REF!</v>
      </c>
      <c r="C18" s="72" t="e">
        <f>Cashflow!#REF!*'P&amp;L Detl'!#REF!</f>
        <v>#REF!</v>
      </c>
      <c r="D18" s="61" t="e">
        <f>Cashflow!#REF!*'P&amp;L Detl'!#REF!</f>
        <v>#REF!</v>
      </c>
      <c r="E18" s="61" t="e">
        <f>Cashflow!#REF!*'P&amp;L Detl'!#REF!</f>
        <v>#REF!</v>
      </c>
      <c r="F18" s="61" t="e">
        <f>Cashflow!#REF!*'P&amp;L Detl'!#REF!</f>
        <v>#REF!</v>
      </c>
      <c r="G18" s="61" t="e">
        <f>Cashflow!#REF!*'P&amp;L Detl'!#REF!</f>
        <v>#REF!</v>
      </c>
      <c r="H18" s="61" t="e">
        <f>Cashflow!#REF!*'P&amp;L Detl'!#REF!</f>
        <v>#REF!</v>
      </c>
      <c r="I18" s="61" t="e">
        <f>Cashflow!#REF!*'P&amp;L Detl'!#REF!</f>
        <v>#REF!</v>
      </c>
      <c r="J18" s="61" t="e">
        <f>Cashflow!#REF!*'P&amp;L Detl'!#REF!</f>
        <v>#REF!</v>
      </c>
      <c r="K18" s="61" t="e">
        <f>Cashflow!#REF!*'P&amp;L Detl'!#REF!</f>
        <v>#REF!</v>
      </c>
      <c r="L18" s="61" t="e">
        <f>Cashflow!#REF!*'P&amp;L Detl'!#REF!</f>
        <v>#REF!</v>
      </c>
      <c r="M18" s="61" t="e">
        <f>Cashflow!#REF!*'P&amp;L Detl'!#REF!</f>
        <v>#REF!</v>
      </c>
      <c r="N18" s="63" t="e">
        <f t="shared" si="1"/>
        <v>#REF!</v>
      </c>
    </row>
    <row r="19" spans="1:14" ht="12.75" x14ac:dyDescent="0.2">
      <c r="A19" s="60" t="s">
        <v>103</v>
      </c>
      <c r="B19" s="61" t="e">
        <f>Cashflow!#REF!*'P&amp;L Detl'!#REF!</f>
        <v>#REF!</v>
      </c>
      <c r="C19" s="72" t="e">
        <f>Cashflow!#REF!*'P&amp;L Detl'!#REF!</f>
        <v>#REF!</v>
      </c>
      <c r="D19" s="61" t="e">
        <f>Cashflow!#REF!*'P&amp;L Detl'!#REF!</f>
        <v>#REF!</v>
      </c>
      <c r="E19" s="61" t="e">
        <f>Cashflow!#REF!*'P&amp;L Detl'!#REF!</f>
        <v>#REF!</v>
      </c>
      <c r="F19" s="61" t="e">
        <f>Cashflow!#REF!*'P&amp;L Detl'!#REF!</f>
        <v>#REF!</v>
      </c>
      <c r="G19" s="61" t="e">
        <f>Cashflow!#REF!*'P&amp;L Detl'!#REF!</f>
        <v>#REF!</v>
      </c>
      <c r="H19" s="61" t="e">
        <f>Cashflow!#REF!*'P&amp;L Detl'!#REF!</f>
        <v>#REF!</v>
      </c>
      <c r="I19" s="61" t="e">
        <f>Cashflow!#REF!*'P&amp;L Detl'!#REF!</f>
        <v>#REF!</v>
      </c>
      <c r="J19" s="61" t="e">
        <f>Cashflow!#REF!*'P&amp;L Detl'!#REF!</f>
        <v>#REF!</v>
      </c>
      <c r="K19" s="61" t="e">
        <f>Cashflow!#REF!*'P&amp;L Detl'!#REF!</f>
        <v>#REF!</v>
      </c>
      <c r="L19" s="61" t="e">
        <f>Cashflow!#REF!*'P&amp;L Detl'!#REF!</f>
        <v>#REF!</v>
      </c>
      <c r="M19" s="61" t="e">
        <f>Cashflow!#REF!*'P&amp;L Detl'!#REF!</f>
        <v>#REF!</v>
      </c>
      <c r="N19" s="63" t="e">
        <f t="shared" si="1"/>
        <v>#REF!</v>
      </c>
    </row>
    <row r="20" spans="1:14" ht="12.75" x14ac:dyDescent="0.2">
      <c r="A20" s="60" t="s">
        <v>104</v>
      </c>
      <c r="B20" s="61" t="e">
        <f>Cashflow!#REF!*'P&amp;L Detl'!$B$25</f>
        <v>#REF!</v>
      </c>
      <c r="C20" s="72" t="e">
        <f>Cashflow!#REF!*'P&amp;L Detl'!$B$25</f>
        <v>#REF!</v>
      </c>
      <c r="D20" s="61" t="e">
        <f>Cashflow!#REF!*'P&amp;L Detl'!$B$25</f>
        <v>#REF!</v>
      </c>
      <c r="E20" s="61" t="e">
        <f>Cashflow!#REF!*'P&amp;L Detl'!$B$25</f>
        <v>#REF!</v>
      </c>
      <c r="F20" s="61" t="e">
        <f>Cashflow!#REF!*'P&amp;L Detl'!$B$25</f>
        <v>#REF!</v>
      </c>
      <c r="G20" s="61" t="e">
        <f>Cashflow!#REF!*'P&amp;L Detl'!$B$25</f>
        <v>#REF!</v>
      </c>
      <c r="H20" s="61" t="e">
        <f>Cashflow!#REF!*'P&amp;L Detl'!$B$25</f>
        <v>#REF!</v>
      </c>
      <c r="I20" s="61" t="e">
        <f>Cashflow!#REF!*'P&amp;L Detl'!$B$25</f>
        <v>#REF!</v>
      </c>
      <c r="J20" s="61" t="e">
        <f>Cashflow!#REF!*'P&amp;L Detl'!$B$25</f>
        <v>#REF!</v>
      </c>
      <c r="K20" s="61" t="e">
        <f>Cashflow!#REF!*'P&amp;L Detl'!$B$25</f>
        <v>#REF!</v>
      </c>
      <c r="L20" s="61" t="e">
        <f>Cashflow!#REF!*'P&amp;L Detl'!$B$25</f>
        <v>#REF!</v>
      </c>
      <c r="M20" s="61" t="e">
        <f>Cashflow!#REF!*'P&amp;L Detl'!$B$25</f>
        <v>#REF!</v>
      </c>
      <c r="N20" s="63" t="e">
        <f t="shared" si="1"/>
        <v>#REF!</v>
      </c>
    </row>
    <row r="21" spans="1:14" s="1" customFormat="1" ht="14.1" customHeight="1" x14ac:dyDescent="0.2">
      <c r="A21" s="71" t="s">
        <v>105</v>
      </c>
      <c r="B21" s="72" t="e">
        <f>Cashflow!#REF!*'P&amp;L Detl'!#REF!</f>
        <v>#REF!</v>
      </c>
      <c r="C21" s="72" t="e">
        <f>Cashflow!#REF!*'P&amp;L Detl'!#REF!</f>
        <v>#REF!</v>
      </c>
      <c r="D21" s="72" t="e">
        <f>Cashflow!#REF!*'P&amp;L Detl'!#REF!</f>
        <v>#REF!</v>
      </c>
      <c r="E21" s="72" t="e">
        <f>Cashflow!#REF!*'P&amp;L Detl'!#REF!</f>
        <v>#REF!</v>
      </c>
      <c r="F21" s="72" t="e">
        <f>Cashflow!#REF!*'P&amp;L Detl'!#REF!</f>
        <v>#REF!</v>
      </c>
      <c r="G21" s="72" t="e">
        <f>Cashflow!#REF!*'P&amp;L Detl'!#REF!</f>
        <v>#REF!</v>
      </c>
      <c r="H21" s="72" t="e">
        <f>Cashflow!#REF!*'P&amp;L Detl'!#REF!</f>
        <v>#REF!</v>
      </c>
      <c r="I21" s="72" t="e">
        <f>Cashflow!#REF!*'P&amp;L Detl'!#REF!</f>
        <v>#REF!</v>
      </c>
      <c r="J21" s="72" t="e">
        <f>Cashflow!#REF!*'P&amp;L Detl'!#REF!</f>
        <v>#REF!</v>
      </c>
      <c r="K21" s="72" t="e">
        <f>Cashflow!#REF!*'P&amp;L Detl'!#REF!</f>
        <v>#REF!</v>
      </c>
      <c r="L21" s="72" t="e">
        <f>Cashflow!#REF!*'P&amp;L Detl'!#REF!</f>
        <v>#REF!</v>
      </c>
      <c r="M21" s="72" t="e">
        <f>Cashflow!#REF!*'P&amp;L Detl'!#REF!</f>
        <v>#REF!</v>
      </c>
      <c r="N21" s="65" t="e">
        <f>SUM(B21:M21)</f>
        <v>#REF!</v>
      </c>
    </row>
    <row r="22" spans="1:14" ht="12.75" x14ac:dyDescent="0.2">
      <c r="A22" s="60" t="s">
        <v>166</v>
      </c>
      <c r="B22" s="72" t="e">
        <f>Cashflow!#REF!*'P&amp;L Detl'!#REF!</f>
        <v>#REF!</v>
      </c>
      <c r="C22" s="72" t="e">
        <f>Cashflow!#REF!*'P&amp;L Detl'!#REF!</f>
        <v>#REF!</v>
      </c>
      <c r="D22" s="72" t="e">
        <f>Cashflow!#REF!*'P&amp;L Detl'!#REF!</f>
        <v>#REF!</v>
      </c>
      <c r="E22" s="72" t="e">
        <f>Cashflow!#REF!*'P&amp;L Detl'!#REF!</f>
        <v>#REF!</v>
      </c>
      <c r="F22" s="72" t="e">
        <f>Cashflow!#REF!*'P&amp;L Detl'!#REF!</f>
        <v>#REF!</v>
      </c>
      <c r="G22" s="72" t="e">
        <f>Cashflow!#REF!*'P&amp;L Detl'!#REF!</f>
        <v>#REF!</v>
      </c>
      <c r="H22" s="72" t="e">
        <f>Cashflow!#REF!*'P&amp;L Detl'!#REF!</f>
        <v>#REF!</v>
      </c>
      <c r="I22" s="72" t="e">
        <f>Cashflow!#REF!*'P&amp;L Detl'!#REF!</f>
        <v>#REF!</v>
      </c>
      <c r="J22" s="72" t="e">
        <f>Cashflow!#REF!*'P&amp;L Detl'!#REF!</f>
        <v>#REF!</v>
      </c>
      <c r="K22" s="72" t="e">
        <f>Cashflow!#REF!*'P&amp;L Detl'!#REF!</f>
        <v>#REF!</v>
      </c>
      <c r="L22" s="72" t="e">
        <f>Cashflow!#REF!*'P&amp;L Detl'!#REF!</f>
        <v>#REF!</v>
      </c>
      <c r="M22" s="72" t="e">
        <f>Cashflow!#REF!*'P&amp;L Detl'!#REF!</f>
        <v>#REF!</v>
      </c>
      <c r="N22" s="63" t="e">
        <f>SUM(B22:M22)</f>
        <v>#REF!</v>
      </c>
    </row>
    <row r="23" spans="1:14" s="1" customFormat="1" ht="14.1" customHeight="1" x14ac:dyDescent="0.2">
      <c r="A23" s="71"/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65"/>
    </row>
    <row r="24" spans="1:14" s="1" customFormat="1" ht="14.1" customHeight="1" x14ac:dyDescent="0.2">
      <c r="A24" s="75" t="s">
        <v>106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4"/>
    </row>
    <row r="25" spans="1:14" ht="14.1" customHeight="1" x14ac:dyDescent="0.2">
      <c r="A25" s="83" t="s">
        <v>127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5">
        <f>SUM(B25:M25)</f>
        <v>0</v>
      </c>
    </row>
    <row r="26" spans="1:14" ht="14.1" customHeight="1" x14ac:dyDescent="0.2">
      <c r="A26" s="83" t="s">
        <v>128</v>
      </c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5"/>
    </row>
    <row r="27" spans="1:14" ht="12.75" x14ac:dyDescent="0.2">
      <c r="A27" s="31" t="s">
        <v>107</v>
      </c>
      <c r="B27" s="73" t="e">
        <f>Cashflow!#REF!*0</f>
        <v>#REF!</v>
      </c>
      <c r="C27" s="73" t="e">
        <f>Cashflow!#REF!*0</f>
        <v>#REF!</v>
      </c>
      <c r="D27" s="73" t="e">
        <f>Cashflow!#REF!*0</f>
        <v>#REF!</v>
      </c>
      <c r="E27" s="73" t="e">
        <f>Cashflow!#REF!*0</f>
        <v>#REF!</v>
      </c>
      <c r="F27" s="73" t="e">
        <f>Cashflow!#REF!*0</f>
        <v>#REF!</v>
      </c>
      <c r="G27" s="73" t="e">
        <f>Cashflow!#REF!*0</f>
        <v>#REF!</v>
      </c>
      <c r="H27" s="73" t="e">
        <f>Cashflow!#REF!*0</f>
        <v>#REF!</v>
      </c>
      <c r="I27" s="73" t="e">
        <f>Cashflow!#REF!*0</f>
        <v>#REF!</v>
      </c>
      <c r="J27" s="73" t="e">
        <f>Cashflow!#REF!*0</f>
        <v>#REF!</v>
      </c>
      <c r="K27" s="73" t="e">
        <f>Cashflow!#REF!*0</f>
        <v>#REF!</v>
      </c>
      <c r="L27" s="73" t="e">
        <f>Cashflow!#REF!*0</f>
        <v>#REF!</v>
      </c>
      <c r="M27" s="73" t="e">
        <f>Cashflow!#REF!*0</f>
        <v>#REF!</v>
      </c>
      <c r="N27" s="74" t="e">
        <f t="shared" ref="N27:N32" si="2">SUM(B27:M27)</f>
        <v>#REF!</v>
      </c>
    </row>
    <row r="28" spans="1:14" ht="12.75" x14ac:dyDescent="0.2">
      <c r="A28" s="31" t="s">
        <v>135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4"/>
    </row>
    <row r="29" spans="1:14" ht="12.75" x14ac:dyDescent="0.2">
      <c r="A29" s="31" t="s">
        <v>108</v>
      </c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4">
        <f t="shared" si="2"/>
        <v>0</v>
      </c>
    </row>
    <row r="30" spans="1:14" ht="14.1" customHeight="1" x14ac:dyDescent="0.2">
      <c r="A30" s="31" t="s">
        <v>109</v>
      </c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7">
        <f t="shared" si="2"/>
        <v>0</v>
      </c>
    </row>
    <row r="31" spans="1:14" ht="14.1" customHeight="1" x14ac:dyDescent="0.2">
      <c r="A31" s="31" t="s">
        <v>110</v>
      </c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7">
        <f t="shared" si="2"/>
        <v>0</v>
      </c>
    </row>
    <row r="32" spans="1:14" ht="14.1" customHeight="1" x14ac:dyDescent="0.2">
      <c r="A32" s="31" t="s">
        <v>111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4">
        <f t="shared" si="2"/>
        <v>0</v>
      </c>
    </row>
    <row r="33" spans="1:14" ht="14.1" customHeight="1" x14ac:dyDescent="0.2">
      <c r="A33" s="13" t="s">
        <v>113</v>
      </c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5"/>
    </row>
    <row r="34" spans="1:14" ht="14.1" customHeight="1" x14ac:dyDescent="0.2">
      <c r="A34" s="13" t="s">
        <v>117</v>
      </c>
      <c r="B34" s="51" t="e">
        <f>+Controls!#REF!*0.175</f>
        <v>#REF!</v>
      </c>
      <c r="C34" s="51" t="e">
        <f>+Controls!#REF!*0.175</f>
        <v>#REF!</v>
      </c>
      <c r="D34" s="51" t="e">
        <f>+Controls!#REF!*0.175</f>
        <v>#REF!</v>
      </c>
      <c r="E34" s="51" t="e">
        <f>+Controls!#REF!*0.175</f>
        <v>#REF!</v>
      </c>
      <c r="F34" s="51" t="e">
        <f>+Controls!#REF!*0.175</f>
        <v>#REF!</v>
      </c>
      <c r="G34" s="51" t="e">
        <f>+Controls!#REF!*0.175</f>
        <v>#REF!</v>
      </c>
      <c r="H34" s="51" t="e">
        <f>+Controls!#REF!*0.175</f>
        <v>#REF!</v>
      </c>
      <c r="I34" s="51" t="e">
        <f>+Controls!#REF!*0.175</f>
        <v>#REF!</v>
      </c>
      <c r="J34" s="51" t="e">
        <f>+Controls!#REF!*0.175</f>
        <v>#REF!</v>
      </c>
      <c r="K34" s="51" t="e">
        <f>+Controls!#REF!*0.175</f>
        <v>#REF!</v>
      </c>
      <c r="L34" s="51" t="e">
        <f>+Controls!#REF!*0.175</f>
        <v>#REF!</v>
      </c>
      <c r="M34" s="51" t="e">
        <f>+Controls!#REF!*0.175</f>
        <v>#REF!</v>
      </c>
      <c r="N34" s="15" t="e">
        <f>SUM(B34:M34)</f>
        <v>#REF!</v>
      </c>
    </row>
    <row r="35" spans="1:14" ht="14.1" customHeight="1" x14ac:dyDescent="0.2">
      <c r="A35" s="13" t="s">
        <v>114</v>
      </c>
      <c r="B35" s="14" t="e">
        <f>+Controls!#REF!+Controls!#REF!</f>
        <v>#REF!</v>
      </c>
      <c r="C35" s="14" t="e">
        <f>+Controls!#REF!+Controls!#REF!</f>
        <v>#REF!</v>
      </c>
      <c r="D35" s="14" t="e">
        <f>+Controls!#REF!+Controls!#REF!</f>
        <v>#REF!</v>
      </c>
      <c r="E35" s="14" t="e">
        <f>+Controls!#REF!+Controls!#REF!</f>
        <v>#REF!</v>
      </c>
      <c r="F35" s="14" t="e">
        <f>+Controls!#REF!+Controls!#REF!</f>
        <v>#REF!</v>
      </c>
      <c r="G35" s="14" t="e">
        <f>+Controls!#REF!+Controls!#REF!</f>
        <v>#REF!</v>
      </c>
      <c r="H35" s="14" t="e">
        <f>+Controls!#REF!+Controls!#REF!</f>
        <v>#REF!</v>
      </c>
      <c r="I35" s="14" t="e">
        <f>+Controls!#REF!+Controls!#REF!</f>
        <v>#REF!</v>
      </c>
      <c r="J35" s="14" t="e">
        <f>+Controls!#REF!+Controls!#REF!</f>
        <v>#REF!</v>
      </c>
      <c r="K35" s="14" t="e">
        <f>+Controls!#REF!+Controls!#REF!</f>
        <v>#REF!</v>
      </c>
      <c r="L35" s="14" t="e">
        <f>+Controls!#REF!+Controls!#REF!</f>
        <v>#REF!</v>
      </c>
      <c r="M35" s="14" t="e">
        <f>+Controls!#REF!+Controls!#REF!</f>
        <v>#REF!</v>
      </c>
      <c r="N35" s="15" t="e">
        <f>SUM(B35:M35)</f>
        <v>#REF!</v>
      </c>
    </row>
    <row r="36" spans="1:14" ht="14.1" customHeight="1" x14ac:dyDescent="0.2">
      <c r="A36" s="13" t="s">
        <v>115</v>
      </c>
      <c r="B36" s="51">
        <f>+Controls!C48</f>
        <v>0</v>
      </c>
      <c r="C36" s="51">
        <f>+Controls!D48</f>
        <v>212</v>
      </c>
      <c r="D36" s="51">
        <f>+Controls!E48</f>
        <v>0</v>
      </c>
      <c r="E36" s="51">
        <f>+Controls!E48</f>
        <v>0</v>
      </c>
      <c r="F36" s="51">
        <f>+Controls!F48</f>
        <v>0</v>
      </c>
      <c r="G36" s="51">
        <f>+Controls!H48</f>
        <v>0</v>
      </c>
      <c r="H36" s="51">
        <f>+Controls!I48</f>
        <v>0</v>
      </c>
      <c r="I36" s="51">
        <f ca="1">+Controls!J48</f>
        <v>1003</v>
      </c>
      <c r="J36" s="51">
        <f>+Controls!K48</f>
        <v>0</v>
      </c>
      <c r="K36" s="51">
        <f>+Controls!L48</f>
        <v>0</v>
      </c>
      <c r="L36" s="51">
        <f ca="1">+Controls!M48</f>
        <v>1168</v>
      </c>
      <c r="M36" s="51">
        <f>+Controls!N48</f>
        <v>0</v>
      </c>
      <c r="N36" s="15">
        <f ca="1">SUM(B36:M36)</f>
        <v>2383</v>
      </c>
    </row>
    <row r="37" spans="1:14" ht="14.1" customHeight="1" x14ac:dyDescent="0.2">
      <c r="A37" s="13" t="s">
        <v>116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5">
        <f>SUM(B37:M37)</f>
        <v>0</v>
      </c>
    </row>
    <row r="38" spans="1:14" ht="14.1" customHeight="1" x14ac:dyDescent="0.2">
      <c r="A38" s="13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15"/>
    </row>
    <row r="39" spans="1:14" ht="14.1" customHeight="1" x14ac:dyDescent="0.2">
      <c r="A39" s="13"/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15"/>
    </row>
    <row r="40" spans="1:14" ht="14.1" customHeight="1" x14ac:dyDescent="0.2">
      <c r="A40" s="13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5"/>
    </row>
    <row r="41" spans="1:14" ht="14.1" customHeight="1" thickBot="1" x14ac:dyDescent="0.25">
      <c r="A41" s="13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5"/>
    </row>
    <row r="42" spans="1:14" s="1" customFormat="1" ht="14.1" customHeight="1" thickBot="1" x14ac:dyDescent="0.25">
      <c r="A42" s="38" t="s">
        <v>67</v>
      </c>
      <c r="B42" s="52" t="e">
        <f>SUM(B9:B41)</f>
        <v>#REF!</v>
      </c>
      <c r="C42" s="52" t="e">
        <f t="shared" ref="C42:N42" si="3">SUM(C9:C41)</f>
        <v>#REF!</v>
      </c>
      <c r="D42" s="52" t="e">
        <f t="shared" ca="1" si="3"/>
        <v>#REF!</v>
      </c>
      <c r="E42" s="52" t="e">
        <f t="shared" ca="1" si="3"/>
        <v>#REF!</v>
      </c>
      <c r="F42" s="52" t="e">
        <f t="shared" ca="1" si="3"/>
        <v>#REF!</v>
      </c>
      <c r="G42" s="52" t="e">
        <f t="shared" ca="1" si="3"/>
        <v>#REF!</v>
      </c>
      <c r="H42" s="52" t="e">
        <f t="shared" ca="1" si="3"/>
        <v>#REF!</v>
      </c>
      <c r="I42" s="52" t="e">
        <f t="shared" ca="1" si="3"/>
        <v>#REF!</v>
      </c>
      <c r="J42" s="52" t="e">
        <f t="shared" ca="1" si="3"/>
        <v>#REF!</v>
      </c>
      <c r="K42" s="52" t="e">
        <f t="shared" ca="1" si="3"/>
        <v>#REF!</v>
      </c>
      <c r="L42" s="52" t="e">
        <f t="shared" ca="1" si="3"/>
        <v>#REF!</v>
      </c>
      <c r="M42" s="52" t="e">
        <f t="shared" ca="1" si="3"/>
        <v>#REF!</v>
      </c>
      <c r="N42" s="52" t="e">
        <f t="shared" ca="1" si="3"/>
        <v>#REF!</v>
      </c>
    </row>
    <row r="43" spans="1:14" ht="14.1" customHeight="1" thickBot="1" x14ac:dyDescent="0.25">
      <c r="A43" s="13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5"/>
    </row>
    <row r="44" spans="1:14" s="1" customFormat="1" ht="14.1" customHeight="1" thickBot="1" x14ac:dyDescent="0.25">
      <c r="A44" s="38" t="s">
        <v>68</v>
      </c>
      <c r="B44" s="52" t="e">
        <f t="shared" ref="B44:N44" si="4">+B7-B42</f>
        <v>#REF!</v>
      </c>
      <c r="C44" s="52" t="e">
        <f t="shared" si="4"/>
        <v>#REF!</v>
      </c>
      <c r="D44" s="52" t="e">
        <f t="shared" ca="1" si="4"/>
        <v>#REF!</v>
      </c>
      <c r="E44" s="52" t="e">
        <f t="shared" ca="1" si="4"/>
        <v>#REF!</v>
      </c>
      <c r="F44" s="52" t="e">
        <f t="shared" ca="1" si="4"/>
        <v>#REF!</v>
      </c>
      <c r="G44" s="52" t="e">
        <f t="shared" ca="1" si="4"/>
        <v>#REF!</v>
      </c>
      <c r="H44" s="52" t="e">
        <f t="shared" ca="1" si="4"/>
        <v>#REF!</v>
      </c>
      <c r="I44" s="52" t="e">
        <f t="shared" ca="1" si="4"/>
        <v>#REF!</v>
      </c>
      <c r="J44" s="52" t="e">
        <f t="shared" ca="1" si="4"/>
        <v>#REF!</v>
      </c>
      <c r="K44" s="52" t="e">
        <f t="shared" ca="1" si="4"/>
        <v>#REF!</v>
      </c>
      <c r="L44" s="52" t="e">
        <f t="shared" ca="1" si="4"/>
        <v>#REF!</v>
      </c>
      <c r="M44" s="52" t="e">
        <f t="shared" ca="1" si="4"/>
        <v>#REF!</v>
      </c>
      <c r="N44" s="52" t="e">
        <f t="shared" ca="1" si="4"/>
        <v>#REF!</v>
      </c>
    </row>
    <row r="45" spans="1:14" s="44" customFormat="1" ht="14.1" customHeight="1" thickBot="1" x14ac:dyDescent="0.25">
      <c r="A45" s="41" t="s">
        <v>38</v>
      </c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3"/>
    </row>
    <row r="46" spans="1:14" ht="14.1" customHeight="1" thickTop="1" x14ac:dyDescent="0.2"/>
    <row r="47" spans="1:14" ht="14.1" customHeight="1" x14ac:dyDescent="0.2">
      <c r="A47" t="s">
        <v>63</v>
      </c>
      <c r="B47">
        <v>0</v>
      </c>
      <c r="C47" t="e">
        <f t="shared" ref="C47:M47" si="5">+B50</f>
        <v>#REF!</v>
      </c>
      <c r="D47" t="e">
        <f t="shared" si="5"/>
        <v>#REF!</v>
      </c>
      <c r="E47" t="e">
        <f t="shared" ca="1" si="5"/>
        <v>#REF!</v>
      </c>
      <c r="F47" t="e">
        <f t="shared" ca="1" si="5"/>
        <v>#REF!</v>
      </c>
      <c r="G47" t="e">
        <f t="shared" ca="1" si="5"/>
        <v>#REF!</v>
      </c>
      <c r="H47" t="e">
        <f t="shared" ca="1" si="5"/>
        <v>#REF!</v>
      </c>
      <c r="I47" t="e">
        <f t="shared" ca="1" si="5"/>
        <v>#REF!</v>
      </c>
      <c r="J47" t="e">
        <f t="shared" ca="1" si="5"/>
        <v>#REF!</v>
      </c>
      <c r="K47" t="e">
        <f t="shared" ca="1" si="5"/>
        <v>#REF!</v>
      </c>
      <c r="L47" t="e">
        <f t="shared" ca="1" si="5"/>
        <v>#REF!</v>
      </c>
      <c r="M47" t="e">
        <f t="shared" ca="1" si="5"/>
        <v>#REF!</v>
      </c>
    </row>
    <row r="48" spans="1:14" ht="14.1" customHeight="1" x14ac:dyDescent="0.2">
      <c r="A48" t="s">
        <v>64</v>
      </c>
      <c r="B48" t="e">
        <f>+B44</f>
        <v>#REF!</v>
      </c>
      <c r="C48" t="e">
        <f>+C44</f>
        <v>#REF!</v>
      </c>
      <c r="D48" t="e">
        <f ca="1">+D44</f>
        <v>#REF!</v>
      </c>
      <c r="E48" t="e">
        <f t="shared" ref="E48:L48" ca="1" si="6">+E44</f>
        <v>#REF!</v>
      </c>
      <c r="F48" t="e">
        <f t="shared" ca="1" si="6"/>
        <v>#REF!</v>
      </c>
      <c r="G48" t="e">
        <f t="shared" ca="1" si="6"/>
        <v>#REF!</v>
      </c>
      <c r="H48" t="e">
        <f t="shared" ca="1" si="6"/>
        <v>#REF!</v>
      </c>
      <c r="I48" t="e">
        <f t="shared" ca="1" si="6"/>
        <v>#REF!</v>
      </c>
      <c r="J48" t="e">
        <f t="shared" ca="1" si="6"/>
        <v>#REF!</v>
      </c>
      <c r="K48" t="e">
        <f t="shared" ca="1" si="6"/>
        <v>#REF!</v>
      </c>
      <c r="L48" t="e">
        <f t="shared" ca="1" si="6"/>
        <v>#REF!</v>
      </c>
      <c r="M48" t="e">
        <f ca="1">+M44</f>
        <v>#REF!</v>
      </c>
    </row>
    <row r="49" spans="1:13" ht="14.1" customHeight="1" x14ac:dyDescent="0.2">
      <c r="A49" t="s">
        <v>60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 t="e">
        <f ca="1">+K50</f>
        <v>#REF!</v>
      </c>
    </row>
    <row r="50" spans="1:13" ht="14.1" customHeight="1" x14ac:dyDescent="0.2">
      <c r="A50" t="s">
        <v>65</v>
      </c>
      <c r="B50" t="e">
        <f>+B47+B48-B49</f>
        <v>#REF!</v>
      </c>
      <c r="C50" t="e">
        <f>+C47+C48-C49</f>
        <v>#REF!</v>
      </c>
      <c r="D50" t="e">
        <f ca="1">+D47+D48-D49</f>
        <v>#REF!</v>
      </c>
      <c r="E50" t="e">
        <f t="shared" ref="E50:M50" ca="1" si="7">+E47+E48-E49</f>
        <v>#REF!</v>
      </c>
      <c r="F50" t="e">
        <f t="shared" ca="1" si="7"/>
        <v>#REF!</v>
      </c>
      <c r="G50" t="e">
        <f t="shared" ca="1" si="7"/>
        <v>#REF!</v>
      </c>
      <c r="H50" t="e">
        <f t="shared" ca="1" si="7"/>
        <v>#REF!</v>
      </c>
      <c r="I50" t="e">
        <f t="shared" ca="1" si="7"/>
        <v>#REF!</v>
      </c>
      <c r="J50" t="e">
        <f t="shared" ca="1" si="7"/>
        <v>#REF!</v>
      </c>
      <c r="K50" t="e">
        <f t="shared" ca="1" si="7"/>
        <v>#REF!</v>
      </c>
      <c r="L50" t="e">
        <f t="shared" ca="1" si="7"/>
        <v>#REF!</v>
      </c>
      <c r="M50" t="e">
        <f t="shared" ca="1" si="7"/>
        <v>#REF!</v>
      </c>
    </row>
  </sheetData>
  <phoneticPr fontId="7" type="noConversion"/>
  <pageMargins left="0.75" right="0.75" top="1" bottom="1" header="0.5" footer="0.5"/>
  <pageSetup paperSize="9" scale="66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35"/>
  <sheetViews>
    <sheetView showGridLines="0" topLeftCell="A4" workbookViewId="0">
      <selection activeCell="C29" sqref="C29:N29"/>
    </sheetView>
  </sheetViews>
  <sheetFormatPr defaultRowHeight="12.75" x14ac:dyDescent="0.2"/>
  <cols>
    <col min="1" max="1" width="15.140625" customWidth="1"/>
    <col min="2" max="2" width="16.7109375" customWidth="1"/>
    <col min="3" max="3" width="13" customWidth="1"/>
    <col min="4" max="6" width="11.42578125" customWidth="1"/>
    <col min="7" max="7" width="13" customWidth="1"/>
    <col min="8" max="8" width="11.42578125" customWidth="1"/>
    <col min="9" max="13" width="13" customWidth="1"/>
    <col min="14" max="14" width="12" customWidth="1"/>
    <col min="15" max="15" width="12.140625" style="132" customWidth="1"/>
  </cols>
  <sheetData>
    <row r="1" spans="1:16" s="3" customFormat="1" ht="24" customHeight="1" x14ac:dyDescent="0.25">
      <c r="A1" s="3" t="str">
        <f>CONCATENATE(Cover!C3," ","Capex Forecast")</f>
        <v>Novelty PCs Ltd Capex Forecast</v>
      </c>
      <c r="H1" s="156"/>
      <c r="I1" s="131"/>
      <c r="J1" s="156"/>
    </row>
    <row r="2" spans="1:16" ht="13.5" thickBot="1" x14ac:dyDescent="0.25">
      <c r="A2" s="1"/>
    </row>
    <row r="3" spans="1:16" s="136" customFormat="1" ht="13.5" thickTop="1" x14ac:dyDescent="0.2">
      <c r="A3" s="157" t="s">
        <v>4</v>
      </c>
      <c r="B3" s="158" t="s">
        <v>165</v>
      </c>
      <c r="C3" s="134" t="s">
        <v>199</v>
      </c>
      <c r="D3" s="134" t="s">
        <v>60</v>
      </c>
      <c r="E3" s="134" t="s">
        <v>60</v>
      </c>
      <c r="F3" s="134" t="s">
        <v>60</v>
      </c>
      <c r="G3" s="134" t="s">
        <v>60</v>
      </c>
      <c r="H3" s="134" t="s">
        <v>60</v>
      </c>
      <c r="I3" s="134" t="s">
        <v>60</v>
      </c>
      <c r="J3" s="134" t="s">
        <v>60</v>
      </c>
      <c r="K3" s="134" t="s">
        <v>60</v>
      </c>
      <c r="L3" s="134" t="s">
        <v>60</v>
      </c>
      <c r="M3" s="134" t="s">
        <v>60</v>
      </c>
      <c r="N3" s="134" t="s">
        <v>60</v>
      </c>
      <c r="O3" s="135" t="s">
        <v>142</v>
      </c>
    </row>
    <row r="4" spans="1:16" s="136" customFormat="1" x14ac:dyDescent="0.2">
      <c r="A4" s="159"/>
      <c r="B4" s="160"/>
      <c r="C4" s="8">
        <f>'P&amp;L Detl'!F3</f>
        <v>45307</v>
      </c>
      <c r="D4" s="8">
        <f>'P&amp;L Detl'!G3</f>
        <v>45337</v>
      </c>
      <c r="E4" s="8">
        <f>'P&amp;L Detl'!H3</f>
        <v>45367</v>
      </c>
      <c r="F4" s="8">
        <f>'P&amp;L Detl'!I3</f>
        <v>45397</v>
      </c>
      <c r="G4" s="8">
        <f>'P&amp;L Detl'!J3</f>
        <v>45427</v>
      </c>
      <c r="H4" s="8">
        <f>'P&amp;L Detl'!K3</f>
        <v>45457</v>
      </c>
      <c r="I4" s="8">
        <f>'P&amp;L Detl'!L3</f>
        <v>45487</v>
      </c>
      <c r="J4" s="8">
        <f>'P&amp;L Detl'!M3</f>
        <v>45517</v>
      </c>
      <c r="K4" s="8">
        <f>'P&amp;L Detl'!N3</f>
        <v>45547</v>
      </c>
      <c r="L4" s="8">
        <f>'P&amp;L Detl'!O3</f>
        <v>45577</v>
      </c>
      <c r="M4" s="8">
        <f>'P&amp;L Detl'!P3</f>
        <v>45607</v>
      </c>
      <c r="N4" s="8">
        <f>'P&amp;L Detl'!Q3</f>
        <v>45637</v>
      </c>
      <c r="O4" s="140"/>
    </row>
    <row r="5" spans="1:16" s="144" customFormat="1" x14ac:dyDescent="0.2">
      <c r="A5" s="197" t="s">
        <v>216</v>
      </c>
      <c r="B5" s="17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90">
        <f>SUM(C5:N5)</f>
        <v>0</v>
      </c>
    </row>
    <row r="6" spans="1:16" s="144" customFormat="1" x14ac:dyDescent="0.2">
      <c r="A6" s="197" t="s">
        <v>215</v>
      </c>
      <c r="B6" s="172"/>
      <c r="C6" s="162"/>
      <c r="D6" s="162">
        <v>5000</v>
      </c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90">
        <f t="shared" ref="O6:O12" si="0">SUM(C6:N6)</f>
        <v>5000</v>
      </c>
    </row>
    <row r="7" spans="1:16" s="144" customFormat="1" x14ac:dyDescent="0.2">
      <c r="A7" s="197"/>
      <c r="B7" s="17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90">
        <f t="shared" si="0"/>
        <v>0</v>
      </c>
    </row>
    <row r="8" spans="1:16" s="144" customFormat="1" ht="12" customHeight="1" x14ac:dyDescent="0.2">
      <c r="A8" s="197"/>
      <c r="B8" s="172"/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90">
        <f t="shared" si="0"/>
        <v>0</v>
      </c>
    </row>
    <row r="9" spans="1:16" s="144" customFormat="1" ht="12" customHeight="1" x14ac:dyDescent="0.2">
      <c r="A9" s="197"/>
      <c r="B9" s="172"/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90">
        <f t="shared" si="0"/>
        <v>0</v>
      </c>
    </row>
    <row r="10" spans="1:16" s="144" customFormat="1" x14ac:dyDescent="0.2">
      <c r="A10" s="161"/>
      <c r="B10" s="17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90">
        <f t="shared" si="0"/>
        <v>0</v>
      </c>
    </row>
    <row r="11" spans="1:16" s="144" customFormat="1" ht="12" customHeight="1" x14ac:dyDescent="0.2">
      <c r="A11" s="161"/>
      <c r="B11" s="172"/>
      <c r="C11" s="162"/>
      <c r="D11" s="162"/>
      <c r="E11" s="162"/>
      <c r="F11" s="162"/>
      <c r="G11" s="162"/>
      <c r="H11" s="162"/>
      <c r="I11" s="162"/>
      <c r="J11" s="162"/>
      <c r="K11" s="162"/>
      <c r="L11" s="162"/>
      <c r="M11" s="162"/>
      <c r="N11" s="162"/>
      <c r="O11" s="190">
        <f t="shared" si="0"/>
        <v>0</v>
      </c>
    </row>
    <row r="12" spans="1:16" s="144" customFormat="1" ht="12" customHeight="1" x14ac:dyDescent="0.2">
      <c r="A12" s="161"/>
      <c r="B12" s="172"/>
      <c r="C12" s="162"/>
      <c r="D12" s="162"/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90">
        <f t="shared" si="0"/>
        <v>0</v>
      </c>
    </row>
    <row r="13" spans="1:16" s="136" customFormat="1" x14ac:dyDescent="0.2">
      <c r="A13" s="146"/>
      <c r="B13" s="163"/>
      <c r="C13" s="163">
        <f>SUM(C5:C12)</f>
        <v>0</v>
      </c>
      <c r="D13" s="163">
        <f t="shared" ref="D13:O13" si="1">SUM(D5:D12)</f>
        <v>5000</v>
      </c>
      <c r="E13" s="163">
        <f t="shared" si="1"/>
        <v>0</v>
      </c>
      <c r="F13" s="163">
        <f t="shared" si="1"/>
        <v>0</v>
      </c>
      <c r="G13" s="163">
        <f t="shared" si="1"/>
        <v>0</v>
      </c>
      <c r="H13" s="163">
        <f t="shared" si="1"/>
        <v>0</v>
      </c>
      <c r="I13" s="163">
        <f t="shared" si="1"/>
        <v>0</v>
      </c>
      <c r="J13" s="163">
        <f t="shared" si="1"/>
        <v>0</v>
      </c>
      <c r="K13" s="163">
        <f t="shared" si="1"/>
        <v>0</v>
      </c>
      <c r="L13" s="163">
        <f t="shared" si="1"/>
        <v>0</v>
      </c>
      <c r="M13" s="163">
        <f t="shared" si="1"/>
        <v>0</v>
      </c>
      <c r="N13" s="163">
        <f t="shared" si="1"/>
        <v>0</v>
      </c>
      <c r="O13" s="173">
        <f t="shared" si="1"/>
        <v>5000</v>
      </c>
    </row>
    <row r="14" spans="1:16" x14ac:dyDescent="0.2">
      <c r="A14" s="13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174"/>
    </row>
    <row r="15" spans="1:16" s="136" customFormat="1" ht="13.5" thickBot="1" x14ac:dyDescent="0.25">
      <c r="A15" s="151" t="s">
        <v>143</v>
      </c>
      <c r="B15" s="164">
        <f>+'BS Detl'!B5</f>
        <v>555</v>
      </c>
      <c r="C15" s="164">
        <f>SUM(C5:C12)+B15</f>
        <v>555</v>
      </c>
      <c r="D15" s="164">
        <f>+C15+D13</f>
        <v>5555</v>
      </c>
      <c r="E15" s="164">
        <f>+D15+E13</f>
        <v>5555</v>
      </c>
      <c r="F15" s="164">
        <f t="shared" ref="F15:N15" si="2">+E15+F13</f>
        <v>5555</v>
      </c>
      <c r="G15" s="164">
        <f t="shared" si="2"/>
        <v>5555</v>
      </c>
      <c r="H15" s="164">
        <f t="shared" si="2"/>
        <v>5555</v>
      </c>
      <c r="I15" s="164">
        <f t="shared" si="2"/>
        <v>5555</v>
      </c>
      <c r="J15" s="164">
        <f t="shared" si="2"/>
        <v>5555</v>
      </c>
      <c r="K15" s="164">
        <f t="shared" si="2"/>
        <v>5555</v>
      </c>
      <c r="L15" s="164">
        <f t="shared" si="2"/>
        <v>5555</v>
      </c>
      <c r="M15" s="164">
        <f t="shared" si="2"/>
        <v>5555</v>
      </c>
      <c r="N15" s="164">
        <f t="shared" si="2"/>
        <v>5555</v>
      </c>
      <c r="O15" s="175"/>
    </row>
    <row r="16" spans="1:16" ht="14.25" thickTop="1" thickBot="1" x14ac:dyDescent="0.25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/>
      <c r="P16" s="2"/>
    </row>
    <row r="17" spans="1:15" s="136" customFormat="1" ht="13.5" thickTop="1" x14ac:dyDescent="0.2">
      <c r="A17" s="157" t="s">
        <v>2</v>
      </c>
      <c r="B17" s="176"/>
      <c r="C17" s="177" t="s">
        <v>187</v>
      </c>
      <c r="D17" s="177" t="s">
        <v>187</v>
      </c>
      <c r="E17" s="177" t="s">
        <v>187</v>
      </c>
      <c r="F17" s="177" t="s">
        <v>187</v>
      </c>
      <c r="G17" s="177" t="s">
        <v>187</v>
      </c>
      <c r="H17" s="177" t="s">
        <v>187</v>
      </c>
      <c r="I17" s="177" t="s">
        <v>187</v>
      </c>
      <c r="J17" s="177" t="s">
        <v>187</v>
      </c>
      <c r="K17" s="177" t="s">
        <v>187</v>
      </c>
      <c r="L17" s="177" t="s">
        <v>187</v>
      </c>
      <c r="M17" s="177" t="s">
        <v>187</v>
      </c>
      <c r="N17" s="177" t="s">
        <v>187</v>
      </c>
      <c r="O17" s="178" t="s">
        <v>142</v>
      </c>
    </row>
    <row r="18" spans="1:15" s="136" customFormat="1" x14ac:dyDescent="0.2">
      <c r="A18" s="159"/>
      <c r="B18" s="179"/>
      <c r="C18" s="8">
        <f>'P&amp;L Detl'!F3</f>
        <v>45307</v>
      </c>
      <c r="D18" s="8">
        <f>'P&amp;L Detl'!G3</f>
        <v>45337</v>
      </c>
      <c r="E18" s="8">
        <f>'P&amp;L Detl'!H3</f>
        <v>45367</v>
      </c>
      <c r="F18" s="8">
        <f>'P&amp;L Detl'!I3</f>
        <v>45397</v>
      </c>
      <c r="G18" s="8">
        <f>'P&amp;L Detl'!J3</f>
        <v>45427</v>
      </c>
      <c r="H18" s="8">
        <f>'P&amp;L Detl'!K3</f>
        <v>45457</v>
      </c>
      <c r="I18" s="8">
        <f>'P&amp;L Detl'!L3</f>
        <v>45487</v>
      </c>
      <c r="J18" s="8">
        <f>'P&amp;L Detl'!M3</f>
        <v>45517</v>
      </c>
      <c r="K18" s="8">
        <f>'P&amp;L Detl'!N3</f>
        <v>45547</v>
      </c>
      <c r="L18" s="8">
        <f>'P&amp;L Detl'!O3</f>
        <v>45577</v>
      </c>
      <c r="M18" s="8">
        <f>'P&amp;L Detl'!P3</f>
        <v>45607</v>
      </c>
      <c r="N18" s="8">
        <f>'P&amp;L Detl'!Q3</f>
        <v>45637</v>
      </c>
      <c r="O18" s="180"/>
    </row>
    <row r="19" spans="1:15" s="144" customFormat="1" x14ac:dyDescent="0.2">
      <c r="A19" s="197"/>
      <c r="B19" s="172"/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  <c r="O19" s="190"/>
    </row>
    <row r="20" spans="1:15" s="144" customFormat="1" x14ac:dyDescent="0.2">
      <c r="A20" s="197" t="str">
        <f t="shared" ref="A20:A25" si="3">+A6</f>
        <v>CNC Machine</v>
      </c>
      <c r="B20" s="172"/>
      <c r="C20" s="162"/>
      <c r="D20" s="162">
        <f t="shared" ref="D20:N20" si="4">ROUND($O$6*0.15/12,0)</f>
        <v>63</v>
      </c>
      <c r="E20" s="162">
        <f t="shared" si="4"/>
        <v>63</v>
      </c>
      <c r="F20" s="162">
        <f t="shared" si="4"/>
        <v>63</v>
      </c>
      <c r="G20" s="162">
        <f t="shared" si="4"/>
        <v>63</v>
      </c>
      <c r="H20" s="162">
        <f t="shared" si="4"/>
        <v>63</v>
      </c>
      <c r="I20" s="162">
        <f t="shared" si="4"/>
        <v>63</v>
      </c>
      <c r="J20" s="162">
        <f t="shared" si="4"/>
        <v>63</v>
      </c>
      <c r="K20" s="162">
        <f t="shared" si="4"/>
        <v>63</v>
      </c>
      <c r="L20" s="162">
        <f t="shared" si="4"/>
        <v>63</v>
      </c>
      <c r="M20" s="162">
        <f t="shared" si="4"/>
        <v>63</v>
      </c>
      <c r="N20" s="162">
        <f t="shared" si="4"/>
        <v>63</v>
      </c>
      <c r="O20" s="190">
        <f t="shared" ref="O20:O26" si="5">SUM(C20:N20)</f>
        <v>693</v>
      </c>
    </row>
    <row r="21" spans="1:15" s="144" customFormat="1" x14ac:dyDescent="0.2">
      <c r="A21" s="197">
        <f t="shared" si="3"/>
        <v>0</v>
      </c>
      <c r="B21" s="172"/>
      <c r="C21" s="162">
        <f>ROUND(($O$7+$B$7)*0.02/12,0)</f>
        <v>0</v>
      </c>
      <c r="D21" s="162">
        <f t="shared" ref="D21:N21" si="6">ROUND(($O$7+$B$7)*0.02/12,0)</f>
        <v>0</v>
      </c>
      <c r="E21" s="162">
        <f t="shared" si="6"/>
        <v>0</v>
      </c>
      <c r="F21" s="162">
        <f t="shared" si="6"/>
        <v>0</v>
      </c>
      <c r="G21" s="162">
        <f t="shared" si="6"/>
        <v>0</v>
      </c>
      <c r="H21" s="162">
        <f t="shared" si="6"/>
        <v>0</v>
      </c>
      <c r="I21" s="162">
        <f t="shared" si="6"/>
        <v>0</v>
      </c>
      <c r="J21" s="162">
        <f t="shared" si="6"/>
        <v>0</v>
      </c>
      <c r="K21" s="162">
        <f t="shared" si="6"/>
        <v>0</v>
      </c>
      <c r="L21" s="162">
        <f t="shared" si="6"/>
        <v>0</v>
      </c>
      <c r="M21" s="162">
        <f t="shared" si="6"/>
        <v>0</v>
      </c>
      <c r="N21" s="162">
        <f t="shared" si="6"/>
        <v>0</v>
      </c>
      <c r="O21" s="190">
        <f t="shared" si="5"/>
        <v>0</v>
      </c>
    </row>
    <row r="22" spans="1:15" s="144" customFormat="1" ht="12" customHeight="1" x14ac:dyDescent="0.2">
      <c r="A22" s="197">
        <f t="shared" si="3"/>
        <v>0</v>
      </c>
      <c r="B22" s="172"/>
      <c r="C22" s="162"/>
      <c r="D22" s="162">
        <f t="shared" ref="D22:N22" si="7">ROUND(($O$8+$B$8)*0.2/12,0)</f>
        <v>0</v>
      </c>
      <c r="E22" s="162">
        <f t="shared" si="7"/>
        <v>0</v>
      </c>
      <c r="F22" s="162">
        <f t="shared" si="7"/>
        <v>0</v>
      </c>
      <c r="G22" s="162">
        <f t="shared" si="7"/>
        <v>0</v>
      </c>
      <c r="H22" s="162">
        <f t="shared" si="7"/>
        <v>0</v>
      </c>
      <c r="I22" s="162">
        <f t="shared" si="7"/>
        <v>0</v>
      </c>
      <c r="J22" s="162">
        <f t="shared" si="7"/>
        <v>0</v>
      </c>
      <c r="K22" s="162">
        <f t="shared" si="7"/>
        <v>0</v>
      </c>
      <c r="L22" s="162">
        <f t="shared" si="7"/>
        <v>0</v>
      </c>
      <c r="M22" s="162">
        <f t="shared" si="7"/>
        <v>0</v>
      </c>
      <c r="N22" s="162">
        <f t="shared" si="7"/>
        <v>0</v>
      </c>
      <c r="O22" s="190">
        <f t="shared" si="5"/>
        <v>0</v>
      </c>
    </row>
    <row r="23" spans="1:15" s="144" customFormat="1" ht="12" customHeight="1" x14ac:dyDescent="0.2">
      <c r="A23" s="197">
        <f t="shared" si="3"/>
        <v>0</v>
      </c>
      <c r="B23" s="172"/>
      <c r="C23" s="162"/>
      <c r="D23" s="162"/>
      <c r="E23" s="162"/>
      <c r="F23" s="162"/>
      <c r="G23" s="162"/>
      <c r="H23" s="162"/>
      <c r="I23" s="162"/>
      <c r="J23" s="162"/>
      <c r="K23" s="162"/>
      <c r="L23" s="162"/>
      <c r="M23" s="162"/>
      <c r="N23" s="162"/>
      <c r="O23" s="190">
        <f>SUM(C23:N23)</f>
        <v>0</v>
      </c>
    </row>
    <row r="24" spans="1:15" s="144" customFormat="1" x14ac:dyDescent="0.2">
      <c r="A24" s="197">
        <f t="shared" si="3"/>
        <v>0</v>
      </c>
      <c r="B24" s="17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90">
        <f t="shared" si="5"/>
        <v>0</v>
      </c>
    </row>
    <row r="25" spans="1:15" s="144" customFormat="1" ht="12" customHeight="1" x14ac:dyDescent="0.2">
      <c r="A25" s="197">
        <f t="shared" si="3"/>
        <v>0</v>
      </c>
      <c r="B25" s="17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90">
        <f t="shared" si="5"/>
        <v>0</v>
      </c>
    </row>
    <row r="26" spans="1:15" s="144" customFormat="1" ht="12" customHeight="1" x14ac:dyDescent="0.2">
      <c r="A26" s="161"/>
      <c r="B26" s="172"/>
      <c r="C26" s="162"/>
      <c r="D26" s="162"/>
      <c r="E26" s="162"/>
      <c r="F26" s="162"/>
      <c r="G26" s="162"/>
      <c r="H26" s="162"/>
      <c r="I26" s="162"/>
      <c r="J26" s="162"/>
      <c r="K26" s="162"/>
      <c r="L26" s="162"/>
      <c r="M26" s="162"/>
      <c r="N26" s="162"/>
      <c r="O26" s="190">
        <f t="shared" si="5"/>
        <v>0</v>
      </c>
    </row>
    <row r="27" spans="1:15" s="136" customFormat="1" x14ac:dyDescent="0.2">
      <c r="A27" s="146"/>
      <c r="B27" s="163"/>
      <c r="C27" s="163">
        <f t="shared" ref="C27:O27" si="8">SUM(C19:C26)</f>
        <v>0</v>
      </c>
      <c r="D27" s="163">
        <f t="shared" si="8"/>
        <v>63</v>
      </c>
      <c r="E27" s="163">
        <f t="shared" si="8"/>
        <v>63</v>
      </c>
      <c r="F27" s="163">
        <f t="shared" si="8"/>
        <v>63</v>
      </c>
      <c r="G27" s="163">
        <f t="shared" si="8"/>
        <v>63</v>
      </c>
      <c r="H27" s="163">
        <f t="shared" si="8"/>
        <v>63</v>
      </c>
      <c r="I27" s="163">
        <f t="shared" si="8"/>
        <v>63</v>
      </c>
      <c r="J27" s="163">
        <f t="shared" si="8"/>
        <v>63</v>
      </c>
      <c r="K27" s="163">
        <f t="shared" si="8"/>
        <v>63</v>
      </c>
      <c r="L27" s="163">
        <f t="shared" si="8"/>
        <v>63</v>
      </c>
      <c r="M27" s="163">
        <f t="shared" si="8"/>
        <v>63</v>
      </c>
      <c r="N27" s="163">
        <f t="shared" si="8"/>
        <v>63</v>
      </c>
      <c r="O27" s="173">
        <f t="shared" si="8"/>
        <v>693</v>
      </c>
    </row>
    <row r="28" spans="1:15" s="136" customFormat="1" x14ac:dyDescent="0.2">
      <c r="A28" s="146" t="s">
        <v>162</v>
      </c>
      <c r="B28" s="163"/>
      <c r="C28" s="163">
        <f>ROUND($B$15*0.2/12,0)</f>
        <v>9</v>
      </c>
      <c r="D28" s="163">
        <f t="shared" ref="D28:N28" si="9">+C28</f>
        <v>9</v>
      </c>
      <c r="E28" s="163">
        <f t="shared" si="9"/>
        <v>9</v>
      </c>
      <c r="F28" s="163">
        <f t="shared" si="9"/>
        <v>9</v>
      </c>
      <c r="G28" s="163">
        <f t="shared" si="9"/>
        <v>9</v>
      </c>
      <c r="H28" s="163">
        <f t="shared" si="9"/>
        <v>9</v>
      </c>
      <c r="I28" s="163">
        <f t="shared" si="9"/>
        <v>9</v>
      </c>
      <c r="J28" s="163">
        <f t="shared" si="9"/>
        <v>9</v>
      </c>
      <c r="K28" s="163">
        <f t="shared" si="9"/>
        <v>9</v>
      </c>
      <c r="L28" s="163">
        <f t="shared" si="9"/>
        <v>9</v>
      </c>
      <c r="M28" s="163">
        <f>+L28</f>
        <v>9</v>
      </c>
      <c r="N28" s="163">
        <f t="shared" si="9"/>
        <v>9</v>
      </c>
      <c r="O28" s="173">
        <f>SUM(C28:N28)</f>
        <v>108</v>
      </c>
    </row>
    <row r="29" spans="1:15" s="136" customFormat="1" ht="13.5" thickBot="1" x14ac:dyDescent="0.25">
      <c r="A29" s="151" t="s">
        <v>143</v>
      </c>
      <c r="B29" s="164">
        <f>+'BS Detl'!B6</f>
        <v>37</v>
      </c>
      <c r="C29" s="164">
        <f>+B29+C28+C27</f>
        <v>46</v>
      </c>
      <c r="D29" s="164">
        <f>+C29+D28+D27</f>
        <v>118</v>
      </c>
      <c r="E29" s="164">
        <f t="shared" ref="E29:N29" si="10">+D29+E28+E27</f>
        <v>190</v>
      </c>
      <c r="F29" s="164">
        <f t="shared" si="10"/>
        <v>262</v>
      </c>
      <c r="G29" s="164">
        <f t="shared" si="10"/>
        <v>334</v>
      </c>
      <c r="H29" s="164">
        <f t="shared" si="10"/>
        <v>406</v>
      </c>
      <c r="I29" s="164">
        <f t="shared" si="10"/>
        <v>478</v>
      </c>
      <c r="J29" s="164">
        <f t="shared" si="10"/>
        <v>550</v>
      </c>
      <c r="K29" s="164">
        <f t="shared" si="10"/>
        <v>622</v>
      </c>
      <c r="L29" s="164">
        <f t="shared" si="10"/>
        <v>694</v>
      </c>
      <c r="M29" s="164">
        <f t="shared" si="10"/>
        <v>766</v>
      </c>
      <c r="N29" s="164">
        <f t="shared" si="10"/>
        <v>838</v>
      </c>
      <c r="O29" s="175"/>
    </row>
    <row r="30" spans="1:15" ht="14.25" thickTop="1" thickBot="1" x14ac:dyDescent="0.25">
      <c r="O30"/>
    </row>
    <row r="31" spans="1:15" s="136" customFormat="1" ht="13.5" thickTop="1" x14ac:dyDescent="0.2">
      <c r="A31" s="157" t="s">
        <v>184</v>
      </c>
      <c r="B31" s="176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8"/>
    </row>
    <row r="32" spans="1:15" s="136" customFormat="1" x14ac:dyDescent="0.2">
      <c r="A32" s="159"/>
      <c r="B32" s="179"/>
      <c r="C32" s="8">
        <f>'P&amp;L Detl'!F3</f>
        <v>45307</v>
      </c>
      <c r="D32" s="8">
        <f>'P&amp;L Detl'!G3</f>
        <v>45337</v>
      </c>
      <c r="E32" s="8">
        <f>'P&amp;L Detl'!H3</f>
        <v>45367</v>
      </c>
      <c r="F32" s="8">
        <f>'P&amp;L Detl'!I3</f>
        <v>45397</v>
      </c>
      <c r="G32" s="8">
        <f>'P&amp;L Detl'!J3</f>
        <v>45427</v>
      </c>
      <c r="H32" s="8">
        <f>'P&amp;L Detl'!K3</f>
        <v>45457</v>
      </c>
      <c r="I32" s="8">
        <f>'P&amp;L Detl'!L3</f>
        <v>45487</v>
      </c>
      <c r="J32" s="8">
        <f>'P&amp;L Detl'!M3</f>
        <v>45517</v>
      </c>
      <c r="K32" s="8">
        <f>'P&amp;L Detl'!N3</f>
        <v>45547</v>
      </c>
      <c r="L32" s="8">
        <f>'P&amp;L Detl'!O3</f>
        <v>45577</v>
      </c>
      <c r="M32" s="8">
        <f>'P&amp;L Detl'!P3</f>
        <v>45607</v>
      </c>
      <c r="N32" s="8">
        <f>'P&amp;L Detl'!Q3</f>
        <v>45637</v>
      </c>
      <c r="O32" s="180"/>
    </row>
    <row r="33" spans="1:15" s="144" customFormat="1" ht="12" customHeight="1" x14ac:dyDescent="0.2">
      <c r="A33" s="161"/>
      <c r="B33" s="172"/>
      <c r="C33" s="162"/>
      <c r="D33" s="162"/>
      <c r="E33" s="162"/>
      <c r="F33" s="162"/>
      <c r="G33" s="162"/>
      <c r="H33" s="162"/>
      <c r="I33" s="162"/>
      <c r="J33" s="162"/>
      <c r="K33" s="162"/>
      <c r="L33" s="162"/>
      <c r="M33" s="162"/>
      <c r="N33" s="162"/>
      <c r="O33" s="190"/>
    </row>
    <row r="34" spans="1:15" s="136" customFormat="1" ht="13.5" thickBot="1" x14ac:dyDescent="0.25">
      <c r="A34" s="151" t="s">
        <v>143</v>
      </c>
      <c r="B34" s="164">
        <f>+B15-B29</f>
        <v>518</v>
      </c>
      <c r="C34" s="164">
        <f>+C15-C29</f>
        <v>509</v>
      </c>
      <c r="D34" s="164">
        <f t="shared" ref="D34:N34" si="11">+D15-D29</f>
        <v>5437</v>
      </c>
      <c r="E34" s="164">
        <f t="shared" si="11"/>
        <v>5365</v>
      </c>
      <c r="F34" s="164">
        <f t="shared" si="11"/>
        <v>5293</v>
      </c>
      <c r="G34" s="164">
        <f t="shared" si="11"/>
        <v>5221</v>
      </c>
      <c r="H34" s="164">
        <f t="shared" si="11"/>
        <v>5149</v>
      </c>
      <c r="I34" s="164">
        <f t="shared" si="11"/>
        <v>5077</v>
      </c>
      <c r="J34" s="164">
        <f t="shared" si="11"/>
        <v>5005</v>
      </c>
      <c r="K34" s="164">
        <f t="shared" si="11"/>
        <v>4933</v>
      </c>
      <c r="L34" s="164">
        <f t="shared" si="11"/>
        <v>4861</v>
      </c>
      <c r="M34" s="164">
        <f t="shared" si="11"/>
        <v>4789</v>
      </c>
      <c r="N34" s="164">
        <f t="shared" si="11"/>
        <v>4717</v>
      </c>
      <c r="O34" s="175"/>
    </row>
    <row r="35" spans="1:15" ht="13.5" thickTop="1" x14ac:dyDescent="0.2"/>
  </sheetData>
  <phoneticPr fontId="0" type="noConversion"/>
  <pageMargins left="0.87" right="0.25" top="0.49" bottom="0.6" header="0.5" footer="0.5"/>
  <pageSetup paperSize="9" scale="71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P58"/>
  <sheetViews>
    <sheetView showGridLines="0" workbookViewId="0">
      <selection sqref="A1:XFD1"/>
    </sheetView>
  </sheetViews>
  <sheetFormatPr defaultRowHeight="12.75" x14ac:dyDescent="0.2"/>
  <cols>
    <col min="1" max="1" width="15.140625" customWidth="1"/>
    <col min="2" max="2" width="16.7109375" customWidth="1"/>
    <col min="3" max="3" width="11.5703125" customWidth="1"/>
    <col min="4" max="4" width="13" customWidth="1"/>
    <col min="5" max="7" width="11.42578125" customWidth="1"/>
    <col min="8" max="8" width="13" customWidth="1"/>
    <col min="9" max="9" width="11.42578125" customWidth="1"/>
    <col min="10" max="14" width="13" customWidth="1"/>
    <col min="15" max="15" width="12" customWidth="1"/>
    <col min="16" max="16" width="10.7109375" customWidth="1"/>
  </cols>
  <sheetData>
    <row r="1" spans="1:15" s="3" customFormat="1" ht="24" customHeight="1" x14ac:dyDescent="0.25">
      <c r="A1" s="3" t="str">
        <f>CONCATENATE(Cover!C3," ","Hire Purchase Forecast")</f>
        <v>Novelty PCs Ltd Hire Purchase Forecast</v>
      </c>
      <c r="H1" s="156"/>
      <c r="I1" s="131"/>
      <c r="J1" s="156"/>
    </row>
    <row r="3" spans="1:15" ht="13.5" thickBot="1" x14ac:dyDescent="0.25">
      <c r="A3" s="1" t="s">
        <v>139</v>
      </c>
    </row>
    <row r="4" spans="1:15" s="136" customFormat="1" ht="13.5" thickTop="1" x14ac:dyDescent="0.2">
      <c r="A4" s="133" t="s">
        <v>140</v>
      </c>
      <c r="B4" s="134" t="s">
        <v>141</v>
      </c>
      <c r="C4" s="134" t="s">
        <v>142</v>
      </c>
      <c r="D4" s="134" t="s">
        <v>60</v>
      </c>
      <c r="E4" s="134" t="s">
        <v>60</v>
      </c>
      <c r="F4" s="134" t="s">
        <v>60</v>
      </c>
      <c r="G4" s="134" t="s">
        <v>60</v>
      </c>
      <c r="H4" s="134" t="s">
        <v>60</v>
      </c>
      <c r="I4" s="134" t="s">
        <v>60</v>
      </c>
      <c r="J4" s="134" t="s">
        <v>60</v>
      </c>
      <c r="K4" s="134" t="s">
        <v>60</v>
      </c>
      <c r="L4" s="134" t="s">
        <v>60</v>
      </c>
      <c r="M4" s="134" t="s">
        <v>60</v>
      </c>
      <c r="N4" s="134" t="s">
        <v>60</v>
      </c>
      <c r="O4" s="135" t="s">
        <v>60</v>
      </c>
    </row>
    <row r="5" spans="1:15" s="136" customFormat="1" x14ac:dyDescent="0.2">
      <c r="A5" s="137" t="s">
        <v>146</v>
      </c>
      <c r="B5" s="138"/>
      <c r="C5" s="8">
        <f>'P&amp;L Detl'!E3</f>
        <v>45277</v>
      </c>
      <c r="D5" s="8">
        <f>'P&amp;L Detl'!F3</f>
        <v>45307</v>
      </c>
      <c r="E5" s="8">
        <f>'P&amp;L Detl'!G3</f>
        <v>45337</v>
      </c>
      <c r="F5" s="8">
        <f>'P&amp;L Detl'!H3</f>
        <v>45367</v>
      </c>
      <c r="G5" s="8">
        <f>'P&amp;L Detl'!I3</f>
        <v>45397</v>
      </c>
      <c r="H5" s="8">
        <f>'P&amp;L Detl'!J3</f>
        <v>45427</v>
      </c>
      <c r="I5" s="8">
        <f>'P&amp;L Detl'!K3</f>
        <v>45457</v>
      </c>
      <c r="J5" s="8">
        <f>'P&amp;L Detl'!L3</f>
        <v>45487</v>
      </c>
      <c r="K5" s="8">
        <f>'P&amp;L Detl'!M3</f>
        <v>45517</v>
      </c>
      <c r="L5" s="8">
        <f>'P&amp;L Detl'!N3</f>
        <v>45547</v>
      </c>
      <c r="M5" s="8">
        <f>'P&amp;L Detl'!O3</f>
        <v>45577</v>
      </c>
      <c r="N5" s="8">
        <f>'P&amp;L Detl'!P3</f>
        <v>45607</v>
      </c>
      <c r="O5" s="140">
        <f>'P&amp;L Detl'!Q3</f>
        <v>45637</v>
      </c>
    </row>
    <row r="6" spans="1:15" s="144" customFormat="1" x14ac:dyDescent="0.2">
      <c r="A6" s="161"/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81"/>
    </row>
    <row r="7" spans="1:15" s="144" customFormat="1" x14ac:dyDescent="0.2">
      <c r="A7" s="161"/>
      <c r="B7" s="248" t="s">
        <v>215</v>
      </c>
      <c r="C7" s="142"/>
      <c r="D7" s="142"/>
      <c r="E7" s="142">
        <v>4000</v>
      </c>
      <c r="F7" s="142"/>
      <c r="G7" s="142"/>
      <c r="H7" s="142"/>
      <c r="I7" s="142"/>
      <c r="J7" s="142"/>
      <c r="K7" s="142"/>
      <c r="L7" s="142"/>
      <c r="M7" s="142"/>
      <c r="N7" s="142"/>
      <c r="O7" s="181"/>
    </row>
    <row r="8" spans="1:15" s="144" customFormat="1" x14ac:dyDescent="0.2">
      <c r="A8" s="161"/>
      <c r="B8" s="142"/>
      <c r="C8" s="142"/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181"/>
    </row>
    <row r="9" spans="1:15" s="144" customFormat="1" x14ac:dyDescent="0.2">
      <c r="A9" s="141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81"/>
    </row>
    <row r="10" spans="1:15" s="144" customFormat="1" ht="12" customHeight="1" x14ac:dyDescent="0.2">
      <c r="A10" s="161"/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181"/>
    </row>
    <row r="11" spans="1:15" s="144" customFormat="1" ht="12" customHeight="1" x14ac:dyDescent="0.2">
      <c r="A11" s="141"/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81"/>
    </row>
    <row r="12" spans="1:15" s="144" customFormat="1" ht="12" customHeight="1" x14ac:dyDescent="0.2">
      <c r="A12" s="141"/>
      <c r="B12" s="145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81"/>
    </row>
    <row r="13" spans="1:15" s="144" customFormat="1" ht="12" customHeight="1" x14ac:dyDescent="0.2">
      <c r="A13" s="141"/>
      <c r="B13" s="145"/>
      <c r="C13" s="142"/>
      <c r="D13" s="142"/>
      <c r="E13" s="142"/>
      <c r="F13" s="142"/>
      <c r="G13" s="142"/>
      <c r="H13" s="142"/>
      <c r="I13" s="142"/>
      <c r="J13" s="142"/>
      <c r="K13" s="142"/>
      <c r="L13" s="142"/>
      <c r="M13" s="142"/>
      <c r="N13" s="142"/>
      <c r="O13" s="181"/>
    </row>
    <row r="14" spans="1:15" s="144" customFormat="1" ht="12" customHeight="1" x14ac:dyDescent="0.2">
      <c r="A14" s="141"/>
      <c r="B14" s="145"/>
      <c r="C14" s="142"/>
      <c r="D14" s="142"/>
      <c r="E14" s="142"/>
      <c r="F14" s="142"/>
      <c r="G14" s="142"/>
      <c r="H14" s="142"/>
      <c r="I14" s="142"/>
      <c r="J14" s="142"/>
      <c r="K14" s="142"/>
      <c r="L14" s="142"/>
      <c r="M14" s="142"/>
      <c r="N14" s="142"/>
      <c r="O14" s="181"/>
    </row>
    <row r="15" spans="1:15" s="144" customFormat="1" ht="12" customHeight="1" x14ac:dyDescent="0.2">
      <c r="A15" s="141"/>
      <c r="B15" s="145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81"/>
    </row>
    <row r="16" spans="1:15" s="144" customFormat="1" ht="12" customHeight="1" x14ac:dyDescent="0.2">
      <c r="A16" s="141"/>
      <c r="B16" s="145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81"/>
    </row>
    <row r="17" spans="1:15" s="144" customFormat="1" ht="12" customHeight="1" x14ac:dyDescent="0.2">
      <c r="A17" s="141"/>
      <c r="B17" s="145"/>
      <c r="C17" s="142"/>
      <c r="D17" s="142"/>
      <c r="E17" s="142"/>
      <c r="F17" s="142"/>
      <c r="G17" s="142"/>
      <c r="H17" s="142"/>
      <c r="I17" s="142"/>
      <c r="J17" s="142"/>
      <c r="K17" s="142"/>
      <c r="L17" s="142"/>
      <c r="M17" s="142"/>
      <c r="N17" s="142"/>
      <c r="O17" s="181"/>
    </row>
    <row r="18" spans="1:15" s="144" customFormat="1" ht="12" customHeight="1" x14ac:dyDescent="0.2">
      <c r="A18" s="141"/>
      <c r="B18" s="145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81"/>
    </row>
    <row r="19" spans="1:15" s="144" customFormat="1" ht="12" customHeight="1" x14ac:dyDescent="0.2">
      <c r="A19" s="141"/>
      <c r="B19" s="145"/>
      <c r="C19" s="142"/>
      <c r="D19" s="142"/>
      <c r="E19" s="142"/>
      <c r="F19" s="142"/>
      <c r="G19" s="142"/>
      <c r="H19" s="142"/>
      <c r="I19" s="142"/>
      <c r="J19" s="142"/>
      <c r="K19" s="142"/>
      <c r="L19" s="142"/>
      <c r="M19" s="142"/>
      <c r="N19" s="142"/>
      <c r="O19" s="181"/>
    </row>
    <row r="20" spans="1:15" s="136" customFormat="1" ht="13.5" thickBot="1" x14ac:dyDescent="0.25">
      <c r="A20" s="151" t="s">
        <v>11</v>
      </c>
      <c r="B20" s="152"/>
      <c r="C20" s="152">
        <f t="shared" ref="C20:O20" si="0">SUM(C6:C19)</f>
        <v>0</v>
      </c>
      <c r="D20" s="152">
        <f t="shared" si="0"/>
        <v>0</v>
      </c>
      <c r="E20" s="152">
        <f t="shared" si="0"/>
        <v>4000</v>
      </c>
      <c r="F20" s="152">
        <f t="shared" si="0"/>
        <v>0</v>
      </c>
      <c r="G20" s="152">
        <f t="shared" si="0"/>
        <v>0</v>
      </c>
      <c r="H20" s="152">
        <f t="shared" si="0"/>
        <v>0</v>
      </c>
      <c r="I20" s="152">
        <f t="shared" si="0"/>
        <v>0</v>
      </c>
      <c r="J20" s="152">
        <f t="shared" si="0"/>
        <v>0</v>
      </c>
      <c r="K20" s="152">
        <f t="shared" si="0"/>
        <v>0</v>
      </c>
      <c r="L20" s="152">
        <f t="shared" si="0"/>
        <v>0</v>
      </c>
      <c r="M20" s="152">
        <f t="shared" si="0"/>
        <v>0</v>
      </c>
      <c r="N20" s="152">
        <f t="shared" si="0"/>
        <v>0</v>
      </c>
      <c r="O20" s="153">
        <f t="shared" si="0"/>
        <v>0</v>
      </c>
    </row>
    <row r="21" spans="1:15" ht="14.25" thickTop="1" thickBot="1" x14ac:dyDescent="0.25"/>
    <row r="22" spans="1:15" s="144" customFormat="1" ht="13.5" thickTop="1" x14ac:dyDescent="0.2">
      <c r="A22" s="198"/>
      <c r="B22" s="199"/>
      <c r="C22" s="199"/>
      <c r="D22" s="199"/>
      <c r="E22" s="199"/>
      <c r="F22" s="199"/>
      <c r="G22" s="199"/>
      <c r="H22" s="199"/>
      <c r="I22" s="199"/>
      <c r="J22" s="199"/>
      <c r="K22" s="199"/>
      <c r="L22" s="199"/>
      <c r="M22" s="199"/>
      <c r="N22" s="199"/>
      <c r="O22" s="200"/>
    </row>
    <row r="23" spans="1:15" s="144" customFormat="1" x14ac:dyDescent="0.2">
      <c r="A23" s="161"/>
      <c r="B23" s="248" t="s">
        <v>215</v>
      </c>
      <c r="C23" s="142"/>
      <c r="D23" s="142"/>
      <c r="E23" s="142">
        <v>101</v>
      </c>
      <c r="F23" s="142">
        <v>102</v>
      </c>
      <c r="G23" s="142">
        <v>103</v>
      </c>
      <c r="H23" s="142">
        <v>103</v>
      </c>
      <c r="I23" s="142">
        <v>104</v>
      </c>
      <c r="J23" s="142">
        <v>104</v>
      </c>
      <c r="K23" s="142">
        <v>105</v>
      </c>
      <c r="L23" s="142">
        <v>105</v>
      </c>
      <c r="M23" s="142">
        <v>106</v>
      </c>
      <c r="N23" s="142">
        <v>106</v>
      </c>
      <c r="O23" s="181">
        <v>107</v>
      </c>
    </row>
    <row r="24" spans="1:15" s="144" customFormat="1" x14ac:dyDescent="0.2">
      <c r="A24" s="161"/>
      <c r="B24" s="142"/>
      <c r="C24" s="142"/>
      <c r="D24" s="142"/>
      <c r="E24" s="142"/>
      <c r="F24" s="142"/>
      <c r="G24" s="142"/>
      <c r="H24" s="142"/>
      <c r="I24" s="142"/>
      <c r="J24" s="142"/>
      <c r="K24" s="142"/>
      <c r="L24" s="142"/>
      <c r="M24" s="142"/>
      <c r="N24" s="142"/>
      <c r="O24" s="181"/>
    </row>
    <row r="25" spans="1:15" s="144" customFormat="1" x14ac:dyDescent="0.2">
      <c r="A25" s="161"/>
      <c r="B25" s="142"/>
      <c r="C25" s="142"/>
      <c r="D25" s="142"/>
      <c r="E25" s="142"/>
      <c r="F25" s="142"/>
      <c r="G25" s="142"/>
      <c r="H25" s="142"/>
      <c r="I25" s="142"/>
      <c r="J25" s="142"/>
      <c r="K25" s="142"/>
      <c r="L25" s="142"/>
      <c r="M25" s="142"/>
      <c r="N25" s="142"/>
      <c r="O25" s="181"/>
    </row>
    <row r="26" spans="1:15" s="144" customFormat="1" x14ac:dyDescent="0.2">
      <c r="A26" s="161"/>
      <c r="B26" s="142"/>
      <c r="C26" s="142"/>
      <c r="D26" s="142"/>
      <c r="E26" s="142"/>
      <c r="F26" s="142"/>
      <c r="G26" s="142"/>
      <c r="H26" s="142"/>
      <c r="I26" s="142"/>
      <c r="J26" s="142"/>
      <c r="K26" s="142"/>
      <c r="L26" s="142"/>
      <c r="M26" s="142"/>
      <c r="N26" s="142"/>
      <c r="O26" s="181"/>
    </row>
    <row r="27" spans="1:15" s="144" customFormat="1" x14ac:dyDescent="0.2">
      <c r="A27" s="161"/>
      <c r="B27" s="142"/>
      <c r="C27" s="142"/>
      <c r="D27" s="142"/>
      <c r="E27" s="142"/>
      <c r="F27" s="142"/>
      <c r="G27" s="142"/>
      <c r="H27" s="142"/>
      <c r="I27" s="142"/>
      <c r="J27" s="142"/>
      <c r="K27" s="142"/>
      <c r="L27" s="142"/>
      <c r="M27" s="142"/>
      <c r="N27" s="142"/>
      <c r="O27" s="181"/>
    </row>
    <row r="28" spans="1:15" s="144" customFormat="1" x14ac:dyDescent="0.2">
      <c r="A28" s="141"/>
      <c r="B28" s="145"/>
      <c r="C28" s="142"/>
      <c r="D28" s="142"/>
      <c r="E28" s="142"/>
      <c r="F28" s="142"/>
      <c r="G28" s="142"/>
      <c r="H28" s="142"/>
      <c r="I28" s="142"/>
      <c r="J28" s="142"/>
      <c r="K28" s="142"/>
      <c r="L28" s="142"/>
      <c r="M28" s="142"/>
      <c r="N28" s="142"/>
      <c r="O28" s="181"/>
    </row>
    <row r="29" spans="1:15" s="144" customFormat="1" x14ac:dyDescent="0.2">
      <c r="A29" s="141"/>
      <c r="B29" s="145"/>
      <c r="C29" s="142"/>
      <c r="D29" s="142"/>
      <c r="E29" s="142"/>
      <c r="F29" s="142"/>
      <c r="G29" s="142"/>
      <c r="H29" s="142"/>
      <c r="I29" s="142"/>
      <c r="J29" s="142"/>
      <c r="K29" s="142"/>
      <c r="L29" s="142"/>
      <c r="M29" s="142"/>
      <c r="N29" s="142"/>
      <c r="O29" s="181"/>
    </row>
    <row r="30" spans="1:15" s="144" customFormat="1" x14ac:dyDescent="0.2">
      <c r="A30" s="141"/>
      <c r="B30" s="145"/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81"/>
    </row>
    <row r="31" spans="1:15" s="144" customFormat="1" x14ac:dyDescent="0.2">
      <c r="A31" s="141"/>
      <c r="B31" s="145"/>
      <c r="C31" s="142"/>
      <c r="D31" s="142"/>
      <c r="E31" s="142"/>
      <c r="F31" s="142"/>
      <c r="G31" s="142"/>
      <c r="H31" s="142"/>
      <c r="I31" s="142"/>
      <c r="J31" s="142"/>
      <c r="K31" s="142"/>
      <c r="L31" s="142"/>
      <c r="M31" s="142"/>
      <c r="N31" s="142"/>
      <c r="O31" s="181"/>
    </row>
    <row r="32" spans="1:15" s="144" customFormat="1" x14ac:dyDescent="0.2">
      <c r="A32" s="141"/>
      <c r="B32" s="145"/>
      <c r="C32" s="142"/>
      <c r="D32" s="142"/>
      <c r="E32" s="142"/>
      <c r="F32" s="142"/>
      <c r="G32" s="142"/>
      <c r="H32" s="142"/>
      <c r="I32" s="142"/>
      <c r="J32" s="142"/>
      <c r="K32" s="142"/>
      <c r="L32" s="142"/>
      <c r="M32" s="142"/>
      <c r="N32" s="142"/>
      <c r="O32" s="181"/>
    </row>
    <row r="33" spans="1:15" s="144" customFormat="1" x14ac:dyDescent="0.2">
      <c r="A33" s="141"/>
      <c r="B33" s="142"/>
      <c r="C33" s="142"/>
      <c r="D33" s="142"/>
      <c r="E33" s="142"/>
      <c r="F33" s="142"/>
      <c r="G33" s="142"/>
      <c r="H33" s="142"/>
      <c r="I33" s="142"/>
      <c r="J33" s="142"/>
      <c r="K33" s="142"/>
      <c r="L33" s="142"/>
      <c r="M33" s="142"/>
      <c r="N33" s="142"/>
      <c r="O33" s="181"/>
    </row>
    <row r="34" spans="1:15" s="144" customFormat="1" x14ac:dyDescent="0.2">
      <c r="A34" s="141"/>
      <c r="B34" s="142"/>
      <c r="C34" s="142"/>
      <c r="D34" s="142"/>
      <c r="E34" s="142"/>
      <c r="F34" s="142"/>
      <c r="G34" s="142"/>
      <c r="H34" s="142"/>
      <c r="I34" s="142"/>
      <c r="J34" s="142"/>
      <c r="K34" s="142"/>
      <c r="L34" s="142"/>
      <c r="M34" s="142"/>
      <c r="N34" s="142"/>
      <c r="O34" s="181"/>
    </row>
    <row r="35" spans="1:15" s="136" customFormat="1" x14ac:dyDescent="0.2">
      <c r="A35" s="146" t="s">
        <v>188</v>
      </c>
      <c r="B35" s="147"/>
      <c r="C35" s="147">
        <f t="shared" ref="C35:O35" si="1">SUM(C22:C34)</f>
        <v>0</v>
      </c>
      <c r="D35" s="147">
        <f t="shared" si="1"/>
        <v>0</v>
      </c>
      <c r="E35" s="147">
        <f t="shared" si="1"/>
        <v>101</v>
      </c>
      <c r="F35" s="147">
        <f t="shared" si="1"/>
        <v>102</v>
      </c>
      <c r="G35" s="147">
        <f t="shared" si="1"/>
        <v>103</v>
      </c>
      <c r="H35" s="147">
        <f t="shared" si="1"/>
        <v>103</v>
      </c>
      <c r="I35" s="147">
        <f t="shared" si="1"/>
        <v>104</v>
      </c>
      <c r="J35" s="147">
        <f t="shared" si="1"/>
        <v>104</v>
      </c>
      <c r="K35" s="147">
        <f t="shared" si="1"/>
        <v>105</v>
      </c>
      <c r="L35" s="147">
        <f t="shared" si="1"/>
        <v>105</v>
      </c>
      <c r="M35" s="147">
        <f t="shared" si="1"/>
        <v>106</v>
      </c>
      <c r="N35" s="147">
        <f t="shared" si="1"/>
        <v>106</v>
      </c>
      <c r="O35" s="148">
        <f t="shared" si="1"/>
        <v>107</v>
      </c>
    </row>
    <row r="36" spans="1:15" x14ac:dyDescent="0.2">
      <c r="A36" s="13"/>
      <c r="O36" s="150"/>
    </row>
    <row r="37" spans="1:15" s="136" customFormat="1" ht="13.5" thickBot="1" x14ac:dyDescent="0.25">
      <c r="A37" s="151" t="s">
        <v>143</v>
      </c>
      <c r="B37" s="152"/>
      <c r="C37" s="152">
        <f>+C20+C35</f>
        <v>0</v>
      </c>
      <c r="D37" s="152">
        <f t="shared" ref="D37:O37" si="2">C37+D20-D35</f>
        <v>0</v>
      </c>
      <c r="E37" s="152">
        <f t="shared" si="2"/>
        <v>3899</v>
      </c>
      <c r="F37" s="152">
        <f t="shared" si="2"/>
        <v>3797</v>
      </c>
      <c r="G37" s="152">
        <f t="shared" si="2"/>
        <v>3694</v>
      </c>
      <c r="H37" s="152">
        <f t="shared" si="2"/>
        <v>3591</v>
      </c>
      <c r="I37" s="152">
        <f t="shared" si="2"/>
        <v>3487</v>
      </c>
      <c r="J37" s="152">
        <f t="shared" si="2"/>
        <v>3383</v>
      </c>
      <c r="K37" s="152">
        <f t="shared" si="2"/>
        <v>3278</v>
      </c>
      <c r="L37" s="152">
        <f t="shared" si="2"/>
        <v>3173</v>
      </c>
      <c r="M37" s="152">
        <f t="shared" si="2"/>
        <v>3067</v>
      </c>
      <c r="N37" s="152">
        <f t="shared" si="2"/>
        <v>2961</v>
      </c>
      <c r="O37" s="153">
        <f t="shared" si="2"/>
        <v>2854</v>
      </c>
    </row>
    <row r="38" spans="1:15" ht="13.5" thickTop="1" x14ac:dyDescent="0.2">
      <c r="E38" s="144"/>
      <c r="F38" s="144"/>
      <c r="G38" s="144"/>
      <c r="I38" s="144"/>
    </row>
    <row r="39" spans="1:15" ht="13.5" thickBot="1" x14ac:dyDescent="0.25">
      <c r="A39" s="1" t="s">
        <v>158</v>
      </c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 s="144" customFormat="1" ht="13.5" thickTop="1" x14ac:dyDescent="0.2">
      <c r="A40" s="198"/>
      <c r="B40" s="199"/>
      <c r="C40" s="199"/>
      <c r="D40" s="199"/>
      <c r="E40" s="199"/>
      <c r="F40" s="199"/>
      <c r="G40" s="199"/>
      <c r="H40" s="199"/>
      <c r="I40" s="199"/>
      <c r="J40" s="199"/>
      <c r="K40" s="199"/>
      <c r="L40" s="199"/>
      <c r="M40" s="199"/>
      <c r="N40" s="199"/>
      <c r="O40" s="200"/>
    </row>
    <row r="41" spans="1:15" s="144" customFormat="1" x14ac:dyDescent="0.2">
      <c r="A41" s="161"/>
      <c r="B41" s="142" t="s">
        <v>215</v>
      </c>
      <c r="C41" s="142"/>
      <c r="D41" s="142"/>
      <c r="E41" s="142">
        <v>20</v>
      </c>
      <c r="F41" s="142">
        <v>20</v>
      </c>
      <c r="G41" s="142">
        <v>19</v>
      </c>
      <c r="H41" s="142">
        <v>18</v>
      </c>
      <c r="I41" s="142">
        <v>18</v>
      </c>
      <c r="J41" s="142">
        <v>17</v>
      </c>
      <c r="K41" s="142">
        <v>17</v>
      </c>
      <c r="L41" s="142">
        <v>16</v>
      </c>
      <c r="M41" s="142">
        <v>16</v>
      </c>
      <c r="N41" s="142">
        <v>15</v>
      </c>
      <c r="O41" s="181">
        <v>14</v>
      </c>
    </row>
    <row r="42" spans="1:15" s="144" customFormat="1" x14ac:dyDescent="0.2">
      <c r="A42" s="161"/>
      <c r="B42" s="142"/>
      <c r="C42" s="142"/>
      <c r="D42" s="142"/>
      <c r="E42" s="142"/>
      <c r="F42" s="142"/>
      <c r="G42" s="142"/>
      <c r="H42" s="142"/>
      <c r="I42" s="142"/>
      <c r="J42" s="142"/>
      <c r="K42" s="142"/>
      <c r="L42" s="142"/>
      <c r="M42" s="142"/>
      <c r="N42" s="142"/>
      <c r="O42" s="181"/>
    </row>
    <row r="43" spans="1:15" s="144" customFormat="1" x14ac:dyDescent="0.2">
      <c r="A43" s="161"/>
      <c r="B43" s="142"/>
      <c r="C43" s="142"/>
      <c r="D43" s="142"/>
      <c r="E43" s="142"/>
      <c r="F43" s="142"/>
      <c r="G43" s="142"/>
      <c r="H43" s="142"/>
      <c r="I43" s="142"/>
      <c r="J43" s="142"/>
      <c r="K43" s="142"/>
      <c r="L43" s="142"/>
      <c r="M43" s="142"/>
      <c r="N43" s="142"/>
      <c r="O43" s="181"/>
    </row>
    <row r="44" spans="1:15" s="144" customFormat="1" x14ac:dyDescent="0.2">
      <c r="A44" s="161"/>
      <c r="B44" s="142"/>
      <c r="C44" s="142"/>
      <c r="D44" s="142"/>
      <c r="E44" s="142"/>
      <c r="F44" s="142"/>
      <c r="G44" s="142"/>
      <c r="H44" s="142"/>
      <c r="I44" s="142"/>
      <c r="J44" s="142"/>
      <c r="K44" s="142"/>
      <c r="L44" s="142"/>
      <c r="M44" s="142"/>
      <c r="N44" s="142"/>
      <c r="O44" s="181"/>
    </row>
    <row r="45" spans="1:15" s="144" customFormat="1" x14ac:dyDescent="0.2">
      <c r="A45" s="161"/>
      <c r="B45" s="142"/>
      <c r="C45" s="142"/>
      <c r="D45" s="142"/>
      <c r="E45" s="142"/>
      <c r="F45" s="142"/>
      <c r="G45" s="142"/>
      <c r="H45" s="142"/>
      <c r="I45" s="142"/>
      <c r="J45" s="142"/>
      <c r="K45" s="142"/>
      <c r="L45" s="142"/>
      <c r="M45" s="142"/>
      <c r="N45" s="142"/>
      <c r="O45" s="181"/>
    </row>
    <row r="46" spans="1:15" s="144" customFormat="1" x14ac:dyDescent="0.2">
      <c r="A46" s="161"/>
      <c r="B46" s="142"/>
      <c r="C46" s="142"/>
      <c r="D46" s="142"/>
      <c r="E46" s="142"/>
      <c r="F46" s="142"/>
      <c r="G46" s="142"/>
      <c r="H46" s="142"/>
      <c r="I46" s="142"/>
      <c r="J46" s="142"/>
      <c r="K46" s="142"/>
      <c r="L46" s="142"/>
      <c r="M46" s="142"/>
      <c r="N46" s="142"/>
      <c r="O46" s="181"/>
    </row>
    <row r="47" spans="1:15" s="144" customFormat="1" x14ac:dyDescent="0.2">
      <c r="A47" s="161"/>
      <c r="B47" s="142"/>
      <c r="C47" s="142"/>
      <c r="D47" s="142"/>
      <c r="E47" s="142"/>
      <c r="F47" s="142"/>
      <c r="G47" s="142"/>
      <c r="H47" s="142"/>
      <c r="I47" s="142"/>
      <c r="J47" s="142"/>
      <c r="K47" s="142"/>
      <c r="L47" s="142"/>
      <c r="M47" s="142"/>
      <c r="N47" s="142"/>
      <c r="O47" s="181"/>
    </row>
    <row r="48" spans="1:15" s="144" customFormat="1" x14ac:dyDescent="0.2">
      <c r="A48" s="161"/>
      <c r="B48" s="142"/>
      <c r="C48" s="142"/>
      <c r="D48" s="142"/>
      <c r="E48" s="142"/>
      <c r="F48" s="142"/>
      <c r="G48" s="142"/>
      <c r="H48" s="142"/>
      <c r="I48" s="142"/>
      <c r="J48" s="142"/>
      <c r="K48" s="142"/>
      <c r="L48" s="142"/>
      <c r="M48" s="142"/>
      <c r="N48" s="142"/>
      <c r="O48" s="181"/>
    </row>
    <row r="49" spans="1:16" s="144" customFormat="1" x14ac:dyDescent="0.2">
      <c r="A49" s="161"/>
      <c r="B49" s="142"/>
      <c r="C49" s="142"/>
      <c r="D49" s="142"/>
      <c r="E49" s="142"/>
      <c r="F49" s="142"/>
      <c r="G49" s="142"/>
      <c r="H49" s="142"/>
      <c r="I49" s="142"/>
      <c r="J49" s="142"/>
      <c r="K49" s="142"/>
      <c r="L49" s="142"/>
      <c r="M49" s="142"/>
      <c r="N49" s="142"/>
      <c r="O49" s="181"/>
    </row>
    <row r="50" spans="1:16" s="144" customFormat="1" x14ac:dyDescent="0.2">
      <c r="A50" s="161"/>
      <c r="B50" s="142"/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81"/>
    </row>
    <row r="51" spans="1:16" s="144" customFormat="1" x14ac:dyDescent="0.2">
      <c r="A51" s="161"/>
      <c r="B51" s="142"/>
      <c r="C51" s="142"/>
      <c r="D51" s="142"/>
      <c r="E51" s="142"/>
      <c r="F51" s="142"/>
      <c r="G51" s="142"/>
      <c r="H51" s="142"/>
      <c r="I51" s="142"/>
      <c r="J51" s="142"/>
      <c r="K51" s="142"/>
      <c r="L51" s="142"/>
      <c r="M51" s="142"/>
      <c r="N51" s="142"/>
      <c r="O51" s="181"/>
    </row>
    <row r="52" spans="1:16" x14ac:dyDescent="0.2">
      <c r="A52" s="141"/>
      <c r="B52" s="142"/>
      <c r="C52" s="142"/>
      <c r="D52" s="142"/>
      <c r="E52" s="142"/>
      <c r="F52" s="142"/>
      <c r="G52" s="142"/>
      <c r="H52" s="142"/>
      <c r="I52" s="142"/>
      <c r="J52" s="142"/>
      <c r="K52" s="142"/>
      <c r="L52" s="142"/>
      <c r="M52" s="142"/>
      <c r="N52" s="142"/>
      <c r="O52" s="181"/>
    </row>
    <row r="53" spans="1:16" ht="13.5" thickBot="1" x14ac:dyDescent="0.25">
      <c r="A53" s="151" t="s">
        <v>191</v>
      </c>
      <c r="B53" s="152"/>
      <c r="C53" s="152">
        <f>SUM(C46:C52)</f>
        <v>0</v>
      </c>
      <c r="D53" s="152">
        <f>SUM(D40:D52)</f>
        <v>0</v>
      </c>
      <c r="E53" s="152">
        <f t="shared" ref="E53:O53" si="3">SUM(E40:E52)</f>
        <v>20</v>
      </c>
      <c r="F53" s="152">
        <f t="shared" si="3"/>
        <v>20</v>
      </c>
      <c r="G53" s="152">
        <f t="shared" si="3"/>
        <v>19</v>
      </c>
      <c r="H53" s="152">
        <f t="shared" si="3"/>
        <v>18</v>
      </c>
      <c r="I53" s="152">
        <f t="shared" si="3"/>
        <v>18</v>
      </c>
      <c r="J53" s="152">
        <f t="shared" si="3"/>
        <v>17</v>
      </c>
      <c r="K53" s="152">
        <f t="shared" si="3"/>
        <v>17</v>
      </c>
      <c r="L53" s="152">
        <f t="shared" si="3"/>
        <v>16</v>
      </c>
      <c r="M53" s="152">
        <f t="shared" si="3"/>
        <v>16</v>
      </c>
      <c r="N53" s="152">
        <f t="shared" si="3"/>
        <v>15</v>
      </c>
      <c r="O53" s="153">
        <f t="shared" si="3"/>
        <v>14</v>
      </c>
    </row>
    <row r="54" spans="1:16" ht="13.5" thickTop="1" x14ac:dyDescent="0.2">
      <c r="A54" s="6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</row>
    <row r="55" spans="1:16" x14ac:dyDescent="0.2">
      <c r="A55" s="6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</row>
    <row r="56" spans="1:16" x14ac:dyDescent="0.2">
      <c r="A56" s="6"/>
      <c r="B56" s="2"/>
      <c r="C56" s="2"/>
      <c r="D56" s="2"/>
      <c r="E56" s="154"/>
      <c r="F56" s="154"/>
      <c r="G56" s="154"/>
      <c r="H56" s="2"/>
      <c r="I56" s="154"/>
      <c r="J56" s="2"/>
      <c r="K56" s="2"/>
      <c r="L56" s="2"/>
      <c r="M56" s="2"/>
      <c r="N56" s="2"/>
      <c r="P56" s="2"/>
    </row>
    <row r="57" spans="1:16" x14ac:dyDescent="0.2">
      <c r="A57" s="2"/>
      <c r="B57" s="2"/>
      <c r="C57" s="2"/>
      <c r="D57" s="2"/>
      <c r="E57" s="154"/>
      <c r="F57" s="154"/>
      <c r="G57" s="154"/>
      <c r="H57" s="2"/>
      <c r="I57" s="154"/>
      <c r="J57" s="2"/>
      <c r="K57" s="2"/>
      <c r="L57" s="2"/>
      <c r="M57" s="2"/>
      <c r="N57" s="2"/>
      <c r="O57" s="2"/>
      <c r="P57" s="2"/>
    </row>
    <row r="58" spans="1:16" x14ac:dyDescent="0.2">
      <c r="E58" s="79"/>
      <c r="F58" s="79"/>
      <c r="G58" s="79"/>
      <c r="I58" s="79"/>
      <c r="O58" s="6"/>
      <c r="P58" s="2"/>
    </row>
  </sheetData>
  <phoneticPr fontId="0" type="noConversion"/>
  <pageMargins left="0.87" right="0.25" top="0.49" bottom="0.6" header="0.5" footer="0.5"/>
  <pageSetup paperSize="9" scale="67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O44"/>
  <sheetViews>
    <sheetView showGridLines="0" workbookViewId="0">
      <selection sqref="A1:XFD1"/>
    </sheetView>
  </sheetViews>
  <sheetFormatPr defaultRowHeight="12.75" x14ac:dyDescent="0.2"/>
  <cols>
    <col min="1" max="1" width="15.140625" customWidth="1"/>
    <col min="2" max="2" width="16.7109375" customWidth="1"/>
    <col min="3" max="3" width="11.5703125" customWidth="1"/>
    <col min="4" max="4" width="13" customWidth="1"/>
    <col min="5" max="7" width="11.42578125" customWidth="1"/>
    <col min="8" max="8" width="13" customWidth="1"/>
    <col min="9" max="9" width="11.42578125" customWidth="1"/>
    <col min="10" max="14" width="13" customWidth="1"/>
    <col min="15" max="15" width="12" customWidth="1"/>
  </cols>
  <sheetData>
    <row r="1" spans="1:15" s="3" customFormat="1" ht="24" customHeight="1" x14ac:dyDescent="0.25">
      <c r="A1" s="3" t="str">
        <f>CONCATENATE(Cover!C3," ","Loans Forecast")</f>
        <v>Novelty PCs Ltd Loans Forecast</v>
      </c>
      <c r="H1" s="156"/>
      <c r="I1" s="131"/>
      <c r="J1" s="156"/>
    </row>
    <row r="3" spans="1:15" ht="13.5" thickBot="1" x14ac:dyDescent="0.25">
      <c r="A3" s="1" t="s">
        <v>139</v>
      </c>
    </row>
    <row r="4" spans="1:15" s="136" customFormat="1" ht="13.5" thickTop="1" x14ac:dyDescent="0.2">
      <c r="A4" s="133" t="s">
        <v>140</v>
      </c>
      <c r="B4" s="134" t="s">
        <v>141</v>
      </c>
      <c r="C4" s="134" t="s">
        <v>142</v>
      </c>
      <c r="D4" s="134" t="s">
        <v>60</v>
      </c>
      <c r="E4" s="134" t="s">
        <v>60</v>
      </c>
      <c r="F4" s="134" t="s">
        <v>60</v>
      </c>
      <c r="G4" s="134" t="s">
        <v>60</v>
      </c>
      <c r="H4" s="134" t="s">
        <v>60</v>
      </c>
      <c r="I4" s="134" t="s">
        <v>60</v>
      </c>
      <c r="J4" s="134" t="s">
        <v>60</v>
      </c>
      <c r="K4" s="134" t="s">
        <v>60</v>
      </c>
      <c r="L4" s="134" t="s">
        <v>60</v>
      </c>
      <c r="M4" s="134" t="s">
        <v>60</v>
      </c>
      <c r="N4" s="134" t="s">
        <v>60</v>
      </c>
      <c r="O4" s="135" t="s">
        <v>60</v>
      </c>
    </row>
    <row r="5" spans="1:15" s="136" customFormat="1" x14ac:dyDescent="0.2">
      <c r="A5" s="137" t="s">
        <v>146</v>
      </c>
      <c r="B5" s="138"/>
      <c r="C5" s="8">
        <f>'P&amp;L Detl'!E3</f>
        <v>45277</v>
      </c>
      <c r="D5" s="8">
        <f>'P&amp;L Detl'!F3</f>
        <v>45307</v>
      </c>
      <c r="E5" s="8">
        <f>'P&amp;L Detl'!G3</f>
        <v>45337</v>
      </c>
      <c r="F5" s="8">
        <f>'P&amp;L Detl'!H3</f>
        <v>45367</v>
      </c>
      <c r="G5" s="8">
        <f>'P&amp;L Detl'!I3</f>
        <v>45397</v>
      </c>
      <c r="H5" s="8">
        <f>'P&amp;L Detl'!J3</f>
        <v>45427</v>
      </c>
      <c r="I5" s="8">
        <f>'P&amp;L Detl'!K3</f>
        <v>45457</v>
      </c>
      <c r="J5" s="8">
        <f>'P&amp;L Detl'!L3</f>
        <v>45487</v>
      </c>
      <c r="K5" s="8">
        <f>'P&amp;L Detl'!M3</f>
        <v>45517</v>
      </c>
      <c r="L5" s="8">
        <f>'P&amp;L Detl'!N3</f>
        <v>45547</v>
      </c>
      <c r="M5" s="8">
        <f>'P&amp;L Detl'!O3</f>
        <v>45577</v>
      </c>
      <c r="N5" s="8">
        <f>'P&amp;L Detl'!P3</f>
        <v>45607</v>
      </c>
      <c r="O5" s="140">
        <f>'P&amp;L Detl'!Q3</f>
        <v>45637</v>
      </c>
    </row>
    <row r="6" spans="1:15" s="144" customFormat="1" ht="12" customHeight="1" x14ac:dyDescent="0.2">
      <c r="A6" s="161"/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81"/>
    </row>
    <row r="7" spans="1:15" s="144" customFormat="1" ht="12" customHeight="1" x14ac:dyDescent="0.2">
      <c r="A7" s="290" t="s">
        <v>233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81"/>
    </row>
    <row r="8" spans="1:15" s="144" customFormat="1" ht="12" customHeight="1" x14ac:dyDescent="0.2">
      <c r="A8" s="141"/>
      <c r="B8" s="145"/>
      <c r="C8" s="142"/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181"/>
    </row>
    <row r="9" spans="1:15" s="144" customFormat="1" ht="12" customHeight="1" x14ac:dyDescent="0.2">
      <c r="A9" s="141"/>
      <c r="B9" s="145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81"/>
    </row>
    <row r="10" spans="1:15" s="144" customFormat="1" ht="12" customHeight="1" x14ac:dyDescent="0.2">
      <c r="A10" s="141"/>
      <c r="B10" s="145"/>
      <c r="C10" s="142"/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181"/>
    </row>
    <row r="11" spans="1:15" s="136" customFormat="1" x14ac:dyDescent="0.2">
      <c r="A11" s="146" t="s">
        <v>182</v>
      </c>
      <c r="B11" s="147"/>
      <c r="C11" s="147">
        <f t="shared" ref="C11:O11" si="0">SUM(C6:C10)</f>
        <v>0</v>
      </c>
      <c r="D11" s="147">
        <f t="shared" si="0"/>
        <v>0</v>
      </c>
      <c r="E11" s="147">
        <f t="shared" si="0"/>
        <v>0</v>
      </c>
      <c r="F11" s="147">
        <f t="shared" si="0"/>
        <v>0</v>
      </c>
      <c r="G11" s="147">
        <f t="shared" si="0"/>
        <v>0</v>
      </c>
      <c r="H11" s="147">
        <f t="shared" si="0"/>
        <v>0</v>
      </c>
      <c r="I11" s="147">
        <f t="shared" si="0"/>
        <v>0</v>
      </c>
      <c r="J11" s="147">
        <f t="shared" si="0"/>
        <v>0</v>
      </c>
      <c r="K11" s="147">
        <f t="shared" si="0"/>
        <v>0</v>
      </c>
      <c r="L11" s="147">
        <f t="shared" si="0"/>
        <v>0</v>
      </c>
      <c r="M11" s="147">
        <f t="shared" si="0"/>
        <v>0</v>
      </c>
      <c r="N11" s="147">
        <f t="shared" si="0"/>
        <v>0</v>
      </c>
      <c r="O11" s="148">
        <f t="shared" si="0"/>
        <v>0</v>
      </c>
    </row>
    <row r="12" spans="1:15" x14ac:dyDescent="0.2">
      <c r="A12" s="13"/>
      <c r="O12" s="150"/>
    </row>
    <row r="13" spans="1:15" s="136" customFormat="1" ht="13.5" thickBot="1" x14ac:dyDescent="0.25">
      <c r="A13" s="151" t="s">
        <v>143</v>
      </c>
      <c r="B13" s="152"/>
      <c r="C13" s="152">
        <f>+C11+C20</f>
        <v>0</v>
      </c>
      <c r="D13" s="152">
        <f>+C13-D11</f>
        <v>0</v>
      </c>
      <c r="E13" s="152">
        <f t="shared" ref="E13:N13" si="1">+D13-E11</f>
        <v>0</v>
      </c>
      <c r="F13" s="152">
        <f t="shared" si="1"/>
        <v>0</v>
      </c>
      <c r="G13" s="152">
        <f t="shared" si="1"/>
        <v>0</v>
      </c>
      <c r="H13" s="152">
        <f t="shared" si="1"/>
        <v>0</v>
      </c>
      <c r="I13" s="152">
        <f t="shared" si="1"/>
        <v>0</v>
      </c>
      <c r="J13" s="152">
        <f t="shared" si="1"/>
        <v>0</v>
      </c>
      <c r="K13" s="152">
        <f t="shared" si="1"/>
        <v>0</v>
      </c>
      <c r="L13" s="152">
        <f t="shared" si="1"/>
        <v>0</v>
      </c>
      <c r="M13" s="152">
        <f t="shared" si="1"/>
        <v>0</v>
      </c>
      <c r="N13" s="152">
        <f t="shared" si="1"/>
        <v>0</v>
      </c>
      <c r="O13" s="153">
        <f>+N13-O11</f>
        <v>0</v>
      </c>
    </row>
    <row r="14" spans="1:15" ht="13.5" thickTop="1" x14ac:dyDescent="0.2">
      <c r="E14" s="144"/>
      <c r="F14" s="144"/>
      <c r="G14" s="144"/>
      <c r="I14" s="144"/>
    </row>
    <row r="15" spans="1:15" ht="13.5" thickBot="1" x14ac:dyDescent="0.25">
      <c r="A15" s="1" t="s">
        <v>158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</row>
    <row r="16" spans="1:15" s="144" customFormat="1" ht="13.5" thickTop="1" x14ac:dyDescent="0.2">
      <c r="A16" s="198"/>
      <c r="B16" s="199"/>
      <c r="C16" s="202"/>
      <c r="D16" s="202"/>
      <c r="E16" s="202"/>
      <c r="F16" s="202"/>
      <c r="G16" s="202"/>
      <c r="H16" s="202"/>
      <c r="I16" s="202"/>
      <c r="J16" s="202"/>
      <c r="K16" s="202"/>
      <c r="L16" s="202"/>
      <c r="M16" s="202"/>
      <c r="N16" s="202"/>
      <c r="O16" s="203"/>
    </row>
    <row r="17" spans="1:15" s="144" customFormat="1" x14ac:dyDescent="0.2">
      <c r="A17" s="161" t="s">
        <v>158</v>
      </c>
      <c r="B17" s="142"/>
      <c r="C17" s="142"/>
      <c r="D17" s="142"/>
      <c r="E17" s="142"/>
      <c r="F17" s="142"/>
      <c r="G17" s="142"/>
      <c r="H17" s="142"/>
      <c r="I17" s="142"/>
      <c r="J17" s="142"/>
      <c r="K17" s="142"/>
      <c r="L17" s="142"/>
      <c r="M17" s="142"/>
      <c r="N17" s="142"/>
      <c r="O17" s="181"/>
    </row>
    <row r="18" spans="1:15" s="144" customFormat="1" x14ac:dyDescent="0.2">
      <c r="A18" s="161"/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81"/>
    </row>
    <row r="19" spans="1:15" s="144" customFormat="1" x14ac:dyDescent="0.2">
      <c r="A19" s="141"/>
      <c r="B19" s="142"/>
      <c r="C19" s="142"/>
      <c r="D19" s="142"/>
      <c r="E19" s="142"/>
      <c r="F19" s="142"/>
      <c r="G19" s="142"/>
      <c r="H19" s="142"/>
      <c r="I19" s="142"/>
      <c r="J19" s="142"/>
      <c r="K19" s="142"/>
      <c r="L19" s="142"/>
      <c r="M19" s="142"/>
      <c r="N19" s="142"/>
      <c r="O19" s="181"/>
    </row>
    <row r="20" spans="1:15" s="136" customFormat="1" ht="13.5" thickBot="1" x14ac:dyDescent="0.25">
      <c r="A20" s="151" t="s">
        <v>157</v>
      </c>
      <c r="B20" s="152"/>
      <c r="C20" s="152">
        <f t="shared" ref="C20:O20" si="2">SUM(C17:C19)</f>
        <v>0</v>
      </c>
      <c r="D20" s="152">
        <f t="shared" si="2"/>
        <v>0</v>
      </c>
      <c r="E20" s="152">
        <f t="shared" si="2"/>
        <v>0</v>
      </c>
      <c r="F20" s="152">
        <f t="shared" si="2"/>
        <v>0</v>
      </c>
      <c r="G20" s="152">
        <f t="shared" si="2"/>
        <v>0</v>
      </c>
      <c r="H20" s="152">
        <f t="shared" si="2"/>
        <v>0</v>
      </c>
      <c r="I20" s="152">
        <f t="shared" si="2"/>
        <v>0</v>
      </c>
      <c r="J20" s="152">
        <f t="shared" si="2"/>
        <v>0</v>
      </c>
      <c r="K20" s="152">
        <f t="shared" si="2"/>
        <v>0</v>
      </c>
      <c r="L20" s="152">
        <f t="shared" si="2"/>
        <v>0</v>
      </c>
      <c r="M20" s="152">
        <f t="shared" si="2"/>
        <v>0</v>
      </c>
      <c r="N20" s="152">
        <f t="shared" si="2"/>
        <v>0</v>
      </c>
      <c r="O20" s="153">
        <f t="shared" si="2"/>
        <v>0</v>
      </c>
    </row>
    <row r="21" spans="1:15" ht="13.5" thickTop="1" x14ac:dyDescent="0.2">
      <c r="A21" s="6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1:15" x14ac:dyDescent="0.2">
      <c r="A22" s="6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 x14ac:dyDescent="0.2">
      <c r="A23" s="6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5" s="3" customFormat="1" ht="15.75" x14ac:dyDescent="0.25">
      <c r="A24" s="3" t="s">
        <v>234</v>
      </c>
      <c r="H24" s="156"/>
      <c r="I24" s="131"/>
      <c r="J24" s="156"/>
    </row>
    <row r="26" spans="1:15" ht="13.5" thickBot="1" x14ac:dyDescent="0.25">
      <c r="A26" s="1" t="s">
        <v>139</v>
      </c>
    </row>
    <row r="27" spans="1:15" s="136" customFormat="1" ht="13.5" thickTop="1" x14ac:dyDescent="0.2">
      <c r="A27" s="133" t="s">
        <v>140</v>
      </c>
      <c r="B27" s="134" t="s">
        <v>141</v>
      </c>
      <c r="C27" s="134" t="s">
        <v>142</v>
      </c>
      <c r="D27" s="134" t="s">
        <v>60</v>
      </c>
      <c r="E27" s="134" t="s">
        <v>60</v>
      </c>
      <c r="F27" s="134" t="s">
        <v>60</v>
      </c>
      <c r="G27" s="134" t="s">
        <v>60</v>
      </c>
      <c r="H27" s="134" t="s">
        <v>60</v>
      </c>
      <c r="I27" s="134" t="s">
        <v>60</v>
      </c>
      <c r="J27" s="134" t="s">
        <v>60</v>
      </c>
      <c r="K27" s="134" t="s">
        <v>60</v>
      </c>
      <c r="L27" s="134" t="s">
        <v>60</v>
      </c>
      <c r="M27" s="134" t="s">
        <v>60</v>
      </c>
      <c r="N27" s="134" t="s">
        <v>60</v>
      </c>
      <c r="O27" s="135" t="s">
        <v>60</v>
      </c>
    </row>
    <row r="28" spans="1:15" s="136" customFormat="1" x14ac:dyDescent="0.2">
      <c r="A28" s="137" t="s">
        <v>146</v>
      </c>
      <c r="B28" s="138"/>
      <c r="C28" s="8">
        <f>'P&amp;L Detl'!E3</f>
        <v>45277</v>
      </c>
      <c r="D28" s="8">
        <f>'P&amp;L Detl'!F3</f>
        <v>45307</v>
      </c>
      <c r="E28" s="8">
        <f>'P&amp;L Detl'!G3</f>
        <v>45337</v>
      </c>
      <c r="F28" s="8">
        <f>'P&amp;L Detl'!H3</f>
        <v>45367</v>
      </c>
      <c r="G28" s="8">
        <f>'P&amp;L Detl'!I3</f>
        <v>45397</v>
      </c>
      <c r="H28" s="8">
        <f>'P&amp;L Detl'!J3</f>
        <v>45427</v>
      </c>
      <c r="I28" s="8">
        <f>'P&amp;L Detl'!K3</f>
        <v>45457</v>
      </c>
      <c r="J28" s="8">
        <f>'P&amp;L Detl'!L3</f>
        <v>45487</v>
      </c>
      <c r="K28" s="8">
        <f>'P&amp;L Detl'!M3</f>
        <v>45517</v>
      </c>
      <c r="L28" s="8">
        <f>'P&amp;L Detl'!N3</f>
        <v>45547</v>
      </c>
      <c r="M28" s="8">
        <f>'P&amp;L Detl'!O3</f>
        <v>45577</v>
      </c>
      <c r="N28" s="8">
        <f>'P&amp;L Detl'!P3</f>
        <v>45607</v>
      </c>
      <c r="O28" s="140">
        <f>'P&amp;L Detl'!Q3</f>
        <v>45637</v>
      </c>
    </row>
    <row r="29" spans="1:15" s="144" customFormat="1" ht="12" customHeight="1" x14ac:dyDescent="0.2">
      <c r="A29" s="161"/>
      <c r="B29" s="142"/>
      <c r="C29" s="142"/>
      <c r="D29" s="142"/>
      <c r="E29" s="142"/>
      <c r="F29" s="142"/>
      <c r="G29" s="142"/>
      <c r="H29" s="142"/>
      <c r="I29" s="142"/>
      <c r="J29" s="142"/>
      <c r="K29" s="142"/>
      <c r="L29" s="142"/>
      <c r="M29" s="142"/>
      <c r="N29" s="142"/>
      <c r="O29" s="181"/>
    </row>
    <row r="30" spans="1:15" s="144" customFormat="1" ht="12" customHeight="1" x14ac:dyDescent="0.2">
      <c r="A30" s="290" t="s">
        <v>235</v>
      </c>
      <c r="B30" s="142"/>
      <c r="C30" s="142"/>
      <c r="D30" s="142"/>
      <c r="E30" s="142"/>
      <c r="F30" s="142"/>
      <c r="G30" s="142"/>
      <c r="I30" s="142"/>
      <c r="J30" s="142"/>
      <c r="K30" s="142"/>
      <c r="L30" s="142"/>
      <c r="M30" s="142"/>
      <c r="N30" s="142"/>
      <c r="O30" s="181"/>
    </row>
    <row r="31" spans="1:15" s="144" customFormat="1" ht="12" customHeight="1" x14ac:dyDescent="0.2">
      <c r="A31" s="141"/>
      <c r="B31" s="145"/>
      <c r="C31" s="142"/>
      <c r="D31" s="142"/>
      <c r="E31" s="142"/>
      <c r="F31" s="142"/>
      <c r="G31" s="142"/>
      <c r="H31" s="142"/>
      <c r="I31" s="142"/>
      <c r="J31" s="142"/>
      <c r="K31" s="142"/>
      <c r="L31" s="142"/>
      <c r="M31" s="142"/>
      <c r="N31" s="142"/>
      <c r="O31" s="181"/>
    </row>
    <row r="32" spans="1:15" s="144" customFormat="1" ht="12" customHeight="1" x14ac:dyDescent="0.2">
      <c r="A32" s="141"/>
      <c r="B32" s="145"/>
      <c r="C32" s="142"/>
      <c r="D32" s="142"/>
      <c r="E32" s="142"/>
      <c r="F32" s="142"/>
      <c r="G32" s="142"/>
      <c r="H32" s="142"/>
      <c r="I32" s="142"/>
      <c r="J32" s="142"/>
      <c r="K32" s="142"/>
      <c r="L32" s="142"/>
      <c r="M32" s="142"/>
      <c r="N32" s="142"/>
      <c r="O32" s="181"/>
    </row>
    <row r="33" spans="1:15" s="144" customFormat="1" ht="12" customHeight="1" x14ac:dyDescent="0.2">
      <c r="A33" s="141"/>
      <c r="B33" s="145"/>
      <c r="C33" s="142"/>
      <c r="D33" s="142"/>
      <c r="E33" s="142"/>
      <c r="F33" s="142"/>
      <c r="G33" s="142"/>
      <c r="H33" s="142"/>
      <c r="I33" s="142"/>
      <c r="J33" s="142"/>
      <c r="K33" s="142"/>
      <c r="L33" s="142"/>
      <c r="M33" s="142"/>
      <c r="N33" s="142"/>
      <c r="O33" s="181"/>
    </row>
    <row r="34" spans="1:15" s="136" customFormat="1" x14ac:dyDescent="0.2">
      <c r="A34" s="146" t="s">
        <v>182</v>
      </c>
      <c r="B34" s="147"/>
      <c r="C34" s="147">
        <f t="shared" ref="C34:O34" si="3">SUM(C29:C33)</f>
        <v>0</v>
      </c>
      <c r="D34" s="147">
        <f t="shared" si="3"/>
        <v>0</v>
      </c>
      <c r="E34" s="147">
        <f t="shared" si="3"/>
        <v>0</v>
      </c>
      <c r="F34" s="147">
        <f t="shared" si="3"/>
        <v>0</v>
      </c>
      <c r="G34" s="147">
        <f t="shared" si="3"/>
        <v>0</v>
      </c>
      <c r="H34" s="147">
        <f t="shared" si="3"/>
        <v>0</v>
      </c>
      <c r="I34" s="147">
        <f t="shared" si="3"/>
        <v>0</v>
      </c>
      <c r="J34" s="147">
        <f t="shared" si="3"/>
        <v>0</v>
      </c>
      <c r="K34" s="147">
        <f t="shared" si="3"/>
        <v>0</v>
      </c>
      <c r="L34" s="147">
        <f t="shared" si="3"/>
        <v>0</v>
      </c>
      <c r="M34" s="147">
        <f t="shared" si="3"/>
        <v>0</v>
      </c>
      <c r="N34" s="147">
        <f t="shared" si="3"/>
        <v>0</v>
      </c>
      <c r="O34" s="148">
        <f t="shared" si="3"/>
        <v>0</v>
      </c>
    </row>
    <row r="35" spans="1:15" x14ac:dyDescent="0.2">
      <c r="A35" s="13"/>
      <c r="O35" s="150"/>
    </row>
    <row r="36" spans="1:15" s="136" customFormat="1" ht="13.5" thickBot="1" x14ac:dyDescent="0.25">
      <c r="A36" s="151" t="s">
        <v>143</v>
      </c>
      <c r="B36" s="152"/>
      <c r="C36" s="152">
        <f>+C34+C43</f>
        <v>0</v>
      </c>
      <c r="D36" s="152">
        <f>+C36-D34</f>
        <v>0</v>
      </c>
      <c r="E36" s="152">
        <f t="shared" ref="E36:N36" si="4">+D36-E34</f>
        <v>0</v>
      </c>
      <c r="F36" s="152">
        <f t="shared" si="4"/>
        <v>0</v>
      </c>
      <c r="G36" s="152">
        <f t="shared" si="4"/>
        <v>0</v>
      </c>
      <c r="H36" s="152">
        <f t="shared" si="4"/>
        <v>0</v>
      </c>
      <c r="I36" s="152">
        <f t="shared" si="4"/>
        <v>0</v>
      </c>
      <c r="J36" s="152">
        <f t="shared" si="4"/>
        <v>0</v>
      </c>
      <c r="K36" s="152">
        <f t="shared" si="4"/>
        <v>0</v>
      </c>
      <c r="L36" s="152">
        <f t="shared" si="4"/>
        <v>0</v>
      </c>
      <c r="M36" s="152">
        <f t="shared" si="4"/>
        <v>0</v>
      </c>
      <c r="N36" s="152">
        <f t="shared" si="4"/>
        <v>0</v>
      </c>
      <c r="O36" s="153">
        <f>+N36-O34</f>
        <v>0</v>
      </c>
    </row>
    <row r="37" spans="1:15" ht="13.5" thickTop="1" x14ac:dyDescent="0.2">
      <c r="E37" s="144"/>
      <c r="F37" s="144"/>
      <c r="G37" s="144"/>
      <c r="I37" s="144"/>
    </row>
    <row r="38" spans="1:15" ht="13.5" thickBot="1" x14ac:dyDescent="0.25">
      <c r="A38" s="1" t="s">
        <v>158</v>
      </c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 s="144" customFormat="1" ht="13.5" thickTop="1" x14ac:dyDescent="0.2">
      <c r="A39" s="198"/>
      <c r="B39" s="199"/>
      <c r="C39" s="202"/>
      <c r="D39" s="202"/>
      <c r="E39" s="202"/>
      <c r="F39" s="202"/>
      <c r="G39" s="202"/>
      <c r="H39" s="202"/>
      <c r="I39" s="202"/>
      <c r="J39" s="202"/>
      <c r="K39" s="202"/>
      <c r="L39" s="202"/>
      <c r="M39" s="202"/>
      <c r="N39" s="202"/>
      <c r="O39" s="203"/>
    </row>
    <row r="40" spans="1:15" s="144" customFormat="1" x14ac:dyDescent="0.2">
      <c r="A40" s="161" t="s">
        <v>158</v>
      </c>
      <c r="B40" s="142"/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81"/>
    </row>
    <row r="41" spans="1:15" s="144" customFormat="1" x14ac:dyDescent="0.2">
      <c r="A41" s="161"/>
      <c r="B41" s="142"/>
      <c r="C41" s="142"/>
      <c r="D41" s="142"/>
      <c r="E41" s="142"/>
      <c r="F41" s="142"/>
      <c r="G41" s="142"/>
      <c r="H41" s="142"/>
      <c r="I41" s="142"/>
      <c r="J41" s="142"/>
      <c r="K41" s="142"/>
      <c r="L41" s="142"/>
      <c r="M41" s="142"/>
      <c r="N41" s="142"/>
      <c r="O41" s="181"/>
    </row>
    <row r="42" spans="1:15" s="144" customFormat="1" x14ac:dyDescent="0.2">
      <c r="A42" s="141"/>
      <c r="B42" s="142"/>
      <c r="C42" s="142"/>
      <c r="D42" s="142"/>
      <c r="E42" s="142"/>
      <c r="F42" s="142"/>
      <c r="G42" s="142"/>
      <c r="H42" s="142"/>
      <c r="I42" s="142"/>
      <c r="J42" s="142"/>
      <c r="K42" s="142"/>
      <c r="L42" s="142"/>
      <c r="M42" s="142"/>
      <c r="N42" s="142"/>
      <c r="O42" s="181"/>
    </row>
    <row r="43" spans="1:15" s="136" customFormat="1" ht="13.5" thickBot="1" x14ac:dyDescent="0.25">
      <c r="A43" s="151" t="s">
        <v>157</v>
      </c>
      <c r="B43" s="152"/>
      <c r="C43" s="152">
        <f t="shared" ref="C43:O43" si="5">SUM(C40:C42)</f>
        <v>0</v>
      </c>
      <c r="D43" s="152">
        <f t="shared" si="5"/>
        <v>0</v>
      </c>
      <c r="E43" s="152">
        <f t="shared" si="5"/>
        <v>0</v>
      </c>
      <c r="F43" s="152">
        <f t="shared" si="5"/>
        <v>0</v>
      </c>
      <c r="G43" s="152">
        <f t="shared" si="5"/>
        <v>0</v>
      </c>
      <c r="H43" s="152">
        <f t="shared" si="5"/>
        <v>0</v>
      </c>
      <c r="I43" s="152">
        <f t="shared" si="5"/>
        <v>0</v>
      </c>
      <c r="J43" s="152">
        <f t="shared" si="5"/>
        <v>0</v>
      </c>
      <c r="K43" s="152">
        <f t="shared" si="5"/>
        <v>0</v>
      </c>
      <c r="L43" s="152">
        <f t="shared" si="5"/>
        <v>0</v>
      </c>
      <c r="M43" s="152">
        <f t="shared" si="5"/>
        <v>0</v>
      </c>
      <c r="N43" s="152">
        <f t="shared" si="5"/>
        <v>0</v>
      </c>
      <c r="O43" s="153">
        <f t="shared" si="5"/>
        <v>0</v>
      </c>
    </row>
    <row r="44" spans="1:15" ht="13.5" thickTop="1" x14ac:dyDescent="0.2">
      <c r="A44" s="6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</row>
  </sheetData>
  <phoneticPr fontId="0" type="noConversion"/>
  <pageMargins left="0.87" right="0.25" top="0.49" bottom="0.6" header="0.5" footer="0.5"/>
  <pageSetup paperSize="9" scale="71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Cover</vt:lpstr>
      <vt:lpstr>P&amp;L Detl</vt:lpstr>
      <vt:lpstr>BS Detl</vt:lpstr>
      <vt:lpstr>cashflowGross</vt:lpstr>
      <vt:lpstr>Cashflow</vt:lpstr>
      <vt:lpstr>VAT Wkgs</vt:lpstr>
      <vt:lpstr>MthlyCapex</vt:lpstr>
      <vt:lpstr>MthlyHP</vt:lpstr>
      <vt:lpstr>Loans</vt:lpstr>
      <vt:lpstr>Controls</vt:lpstr>
      <vt:lpstr>ExistHP</vt:lpstr>
      <vt:lpstr>PLMar06</vt:lpstr>
      <vt:lpstr>PLMar07</vt:lpstr>
    </vt:vector>
  </TitlesOfParts>
  <Company>Norscreen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Goodfellow</dc:creator>
  <cp:lastModifiedBy>david richings</cp:lastModifiedBy>
  <cp:lastPrinted>2024-02-13T20:55:11Z</cp:lastPrinted>
  <dcterms:created xsi:type="dcterms:W3CDTF">2000-03-26T11:02:11Z</dcterms:created>
  <dcterms:modified xsi:type="dcterms:W3CDTF">2024-02-18T07:59:55Z</dcterms:modified>
</cp:coreProperties>
</file>